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500" windowWidth="28800" windowHeight="16100" tabRatio="600" firstSheet="0" activeTab="0" autoFilterDateGrouping="1"/>
  </bookViews>
  <sheets>
    <sheet xmlns:r="http://schemas.openxmlformats.org/officeDocument/2006/relationships" name="Assumptions" sheetId="1" state="visible" r:id="rId1"/>
    <sheet xmlns:r="http://schemas.openxmlformats.org/officeDocument/2006/relationships" name="Traditional" sheetId="2" state="visible" r:id="rId2"/>
    <sheet xmlns:r="http://schemas.openxmlformats.org/officeDocument/2006/relationships" name="Captive" sheetId="3" state="visible" r:id="rId3"/>
    <sheet xmlns:r="http://schemas.openxmlformats.org/officeDocument/2006/relationships" name="Comparison" sheetId="4" state="visible" r:id="rId4"/>
    <sheet xmlns:r="http://schemas.openxmlformats.org/officeDocument/2006/relationships" name="Scenarios" sheetId="5" state="visible" r:id="rId5"/>
    <sheet xmlns:r="http://schemas.openxmlformats.org/officeDocument/2006/relationships" name="NPV_Valuation" sheetId="6" state="visible" r:id="rId6"/>
    <sheet xmlns:r="http://schemas.openxmlformats.org/officeDocument/2006/relationships" name="Dashboard" sheetId="7" state="visible" r:id="rId7"/>
    <sheet xmlns:r="http://schemas.openxmlformats.org/officeDocument/2006/relationships" name="Sensitivity_Calc" sheetId="8" state="hidden" r:id="rId8"/>
    <sheet xmlns:r="http://schemas.openxmlformats.org/officeDocument/2006/relationships" name="Notes_Methodology" sheetId="9" state="visible" r:id="rId9"/>
  </sheets>
  <definedNames/>
  <calcPr calcId="191029" fullCalcOnLoad="1"/>
</workbook>
</file>

<file path=xl/styles.xml><?xml version="1.0" encoding="utf-8"?>
<styleSheet xmlns="http://schemas.openxmlformats.org/spreadsheetml/2006/main">
  <numFmts count="3">
    <numFmt numFmtId="164" formatCode="0.0%"/>
    <numFmt numFmtId="165" formatCode="0.00\×"/>
    <numFmt numFmtId="166" formatCode="0.000"/>
  </numFmts>
  <fonts count="42">
    <font>
      <name val="Calibri"/>
      <color theme="1"/>
      <sz val="12"/>
      <scheme val="minor"/>
    </font>
    <font>
      <name val="Calibri"/>
      <family val="2"/>
      <b val="1"/>
      <color rgb="FF000000"/>
      <sz val="14"/>
    </font>
    <font>
      <name val="Calibri"/>
      <family val="2"/>
      <sz val="10"/>
    </font>
    <font>
      <name val="Calibri"/>
      <family val="2"/>
      <i val="1"/>
      <color rgb="FF666666"/>
      <sz val="10"/>
    </font>
    <font>
      <name val="Calibri"/>
      <family val="2"/>
      <b val="1"/>
      <color rgb="FF000000"/>
      <sz val="11"/>
    </font>
    <font>
      <name val="Calibri"/>
      <family val="2"/>
      <color rgb="FF000000"/>
      <sz val="10"/>
    </font>
    <font>
      <name val="Calibri"/>
      <family val="2"/>
      <color rgb="FF0000FF"/>
      <sz val="10"/>
    </font>
    <font>
      <name val="Calibri"/>
      <family val="2"/>
      <color rgb="FF008000"/>
      <sz val="10"/>
    </font>
    <font>
      <name val="Calibri"/>
      <family val="2"/>
      <b val="1"/>
      <sz val="14"/>
    </font>
    <font>
      <name val="Calibri"/>
      <family val="2"/>
      <b val="1"/>
      <sz val="10"/>
    </font>
    <font>
      <name val="Calibri"/>
      <family val="2"/>
      <b val="1"/>
      <color rgb="FF000000"/>
      <sz val="10"/>
    </font>
    <font>
      <name val="Calibri"/>
      <family val="2"/>
      <b val="1"/>
      <sz val="11"/>
    </font>
    <font>
      <name val="Calibri"/>
      <family val="2"/>
      <sz val="12"/>
      <scheme val="minor"/>
    </font>
    <font>
      <name val="Calibri"/>
      <family val="2"/>
      <b val="1"/>
      <color rgb="FF008000"/>
      <sz val="10"/>
    </font>
    <font>
      <name val="Calibri"/>
      <family val="2"/>
      <color rgb="FF008000"/>
      <sz val="12"/>
      <scheme val="minor"/>
    </font>
    <font>
      <name val="Calibri"/>
      <family val="2"/>
      <color rgb="FF000000"/>
      <sz val="12"/>
      <scheme val="minor"/>
    </font>
    <font>
      <name val="Calibri"/>
      <family val="2"/>
      <color rgb="FF666666"/>
      <sz val="10"/>
    </font>
    <font>
      <name val="Calibri"/>
      <family val="2"/>
      <b val="1"/>
      <sz val="12"/>
    </font>
    <font>
      <name val="Calibri"/>
      <family val="2"/>
      <b val="1"/>
      <color rgb="FF999999"/>
      <sz val="10"/>
    </font>
    <font>
      <name val="Calibri"/>
      <family val="2"/>
      <color rgb="FF333333"/>
      <sz val="10"/>
    </font>
    <font>
      <name val="Calibri"/>
      <family val="2"/>
      <i val="1"/>
      <color rgb="FF666666"/>
      <sz val="10"/>
    </font>
    <font>
      <name val="Calibri"/>
      <family val="2"/>
      <color rgb="FF0000FF"/>
      <sz val="10"/>
    </font>
    <font>
      <name val="Calibri"/>
      <family val="2"/>
      <color theme="1"/>
      <sz val="10"/>
    </font>
    <font>
      <name val="Calibri"/>
      <family val="2"/>
      <b val="1"/>
      <color theme="1"/>
      <sz val="10"/>
    </font>
    <font>
      <name val="Calibri"/>
      <family val="2"/>
      <b val="1"/>
      <sz val="14"/>
    </font>
    <font>
      <name val="Calibri"/>
      <family val="2"/>
      <i val="1"/>
      <color rgb="FF666666"/>
      <sz val="10"/>
    </font>
    <font>
      <name val="Calibri"/>
      <family val="2"/>
      <b val="1"/>
      <sz val="11"/>
    </font>
    <font>
      <name val="Calibri"/>
      <family val="2"/>
      <sz val="12"/>
      <scheme val="minor"/>
    </font>
    <font>
      <name val="Calibri"/>
      <family val="2"/>
      <b val="1"/>
      <sz val="10"/>
    </font>
    <font>
      <name val="Calibri"/>
      <family val="2"/>
      <sz val="10"/>
    </font>
    <font>
      <name val="Calibri"/>
      <family val="2"/>
      <b val="1"/>
      <color rgb="FF008000"/>
      <sz val="10"/>
    </font>
    <font>
      <name val="Calibri"/>
      <family val="2"/>
      <color rgb="FF008000"/>
      <sz val="10"/>
    </font>
    <font>
      <name val="Calibri"/>
      <family val="2"/>
      <color rgb="FF008000"/>
      <sz val="12"/>
      <scheme val="minor"/>
    </font>
    <font>
      <name val="Calibri"/>
      <family val="2"/>
      <i val="1"/>
      <color rgb="FF666666"/>
      <sz val="10"/>
      <scheme val="minor"/>
    </font>
    <font>
      <name val="Calibri"/>
      <family val="2"/>
      <color rgb="FF000000"/>
      <sz val="10"/>
    </font>
    <font>
      <name val="Calibri"/>
      <family val="2"/>
      <b val="1"/>
      <color rgb="FF000000"/>
      <sz val="10"/>
    </font>
    <font>
      <name val="Calibri"/>
      <family val="2"/>
      <b val="1"/>
      <color theme="1"/>
      <sz val="11"/>
    </font>
    <font>
      <name val="Calibri"/>
      <family val="2"/>
      <color rgb="FF333333"/>
      <sz val="10"/>
    </font>
    <font>
      <name val="Arial"/>
      <family val="2"/>
      <color rgb="FF000000"/>
      <sz val="9"/>
    </font>
    <font>
      <name val="Calibri"/>
      <family val="2"/>
      <color theme="1"/>
      <sz val="10"/>
      <u val="single"/>
    </font>
    <font>
      <name val="Calibri"/>
      <family val="2"/>
      <sz val="10"/>
    </font>
    <font>
      <name val="Calibri"/>
      <color rgb="000000FF"/>
      <sz val="11"/>
    </font>
  </fonts>
  <fills count="2">
    <fill>
      <patternFill/>
    </fill>
    <fill>
      <patternFill patternType="gray125"/>
    </fill>
  </fills>
  <borders count="10">
    <border>
      <left/>
      <right/>
      <top/>
      <bottom/>
      <diagonal/>
    </border>
    <border>
      <left/>
      <right/>
      <top/>
      <bottom/>
      <diagonal/>
    </border>
    <border>
      <left/>
      <right/>
      <top/>
      <bottom style="medium">
        <color rgb="FF000000"/>
      </bottom>
      <diagonal/>
    </border>
    <border>
      <left/>
      <right/>
      <top/>
      <bottom style="thin">
        <color rgb="FF000000"/>
      </bottom>
      <diagonal/>
    </border>
    <border>
      <left/>
      <right/>
      <top style="double">
        <color rgb="FF000000"/>
      </top>
      <bottom/>
      <diagonal/>
    </border>
    <border>
      <left/>
      <right/>
      <top style="thin">
        <color rgb="FF000000"/>
      </top>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bottom/>
      <diagonal/>
    </border>
  </borders>
  <cellStyleXfs count="1">
    <xf numFmtId="0" fontId="0" fillId="0" borderId="9"/>
  </cellStyleXfs>
  <cellXfs count="108">
    <xf numFmtId="0" fontId="0" fillId="0" borderId="1" pivotButton="0" quotePrefix="0" xfId="0"/>
    <xf numFmtId="0" fontId="1" fillId="0" borderId="1" applyAlignment="1" pivotButton="0" quotePrefix="0" xfId="0">
      <alignment vertical="top"/>
    </xf>
    <xf numFmtId="0" fontId="2" fillId="0" borderId="1" applyAlignment="1" pivotButton="0" quotePrefix="0" xfId="0">
      <alignment vertical="top"/>
    </xf>
    <xf numFmtId="0" fontId="3" fillId="0" borderId="1" applyAlignment="1" pivotButton="0" quotePrefix="0" xfId="0">
      <alignment vertical="top"/>
    </xf>
    <xf numFmtId="0" fontId="4" fillId="0" borderId="2" applyAlignment="1" pivotButton="0" quotePrefix="0" xfId="0">
      <alignment vertical="top"/>
    </xf>
    <xf numFmtId="0" fontId="2" fillId="0" borderId="2" applyAlignment="1" pivotButton="0" quotePrefix="0" xfId="0">
      <alignment vertical="top"/>
    </xf>
    <xf numFmtId="0" fontId="5" fillId="0" borderId="3" applyAlignment="1" pivotButton="0" quotePrefix="0" xfId="0">
      <alignment vertical="top"/>
    </xf>
    <xf numFmtId="0" fontId="5" fillId="0" borderId="1" applyAlignment="1" pivotButton="0" quotePrefix="0" xfId="0">
      <alignment vertical="top"/>
    </xf>
    <xf numFmtId="0" fontId="6" fillId="0" borderId="1" applyAlignment="1" pivotButton="0" quotePrefix="0" xfId="0">
      <alignment horizontal="right" vertical="top"/>
    </xf>
    <xf numFmtId="10" fontId="6" fillId="0" borderId="1" applyAlignment="1" pivotButton="0" quotePrefix="0" xfId="0">
      <alignment vertical="top"/>
    </xf>
    <xf numFmtId="3" fontId="6" fillId="0" borderId="1" applyAlignment="1" pivotButton="0" quotePrefix="0" xfId="0">
      <alignment vertical="top"/>
    </xf>
    <xf numFmtId="164" fontId="6" fillId="0" borderId="1" applyAlignment="1" pivotButton="0" quotePrefix="0" xfId="0">
      <alignment vertical="top"/>
    </xf>
    <xf numFmtId="10" fontId="5" fillId="0" borderId="1" applyAlignment="1" pivotButton="0" quotePrefix="0" xfId="0">
      <alignment vertical="top"/>
    </xf>
    <xf numFmtId="3" fontId="5" fillId="0" borderId="1" applyAlignment="1" pivotButton="0" quotePrefix="0" xfId="0">
      <alignment vertical="top"/>
    </xf>
    <xf numFmtId="165" fontId="6" fillId="0" borderId="1" applyAlignment="1" pivotButton="0" quotePrefix="0" xfId="0">
      <alignment vertical="top"/>
    </xf>
    <xf numFmtId="0" fontId="20" fillId="0" borderId="1" applyAlignment="1" pivotButton="0" quotePrefix="0" xfId="0">
      <alignment vertical="top"/>
    </xf>
    <xf numFmtId="164" fontId="21" fillId="0" borderId="1" applyAlignment="1" pivotButton="0" quotePrefix="0" xfId="0">
      <alignment vertical="top"/>
    </xf>
    <xf numFmtId="0" fontId="22" fillId="0" borderId="1" pivotButton="0" quotePrefix="0" xfId="0"/>
    <xf numFmtId="164" fontId="21" fillId="0" borderId="1" pivotButton="0" quotePrefix="0" xfId="0"/>
    <xf numFmtId="164" fontId="5" fillId="0" borderId="1" applyAlignment="1" pivotButton="0" quotePrefix="0" xfId="0">
      <alignment vertical="top"/>
    </xf>
    <xf numFmtId="0" fontId="20" fillId="0" borderId="1" pivotButton="0" quotePrefix="0" xfId="0"/>
    <xf numFmtId="0" fontId="23" fillId="0" borderId="1" pivotButton="0" quotePrefix="0" xfId="0"/>
    <xf numFmtId="164" fontId="23" fillId="0" borderId="1" pivotButton="0" quotePrefix="0" xfId="0"/>
    <xf numFmtId="0" fontId="21" fillId="0" borderId="1" applyAlignment="1" pivotButton="0" quotePrefix="0" xfId="0">
      <alignment horizontal="right"/>
    </xf>
    <xf numFmtId="0" fontId="22" fillId="0" borderId="3" applyAlignment="1" pivotButton="0" quotePrefix="0" xfId="0">
      <alignment horizontal="center"/>
    </xf>
    <xf numFmtId="164" fontId="21" fillId="0" borderId="1" applyAlignment="1" pivotButton="0" quotePrefix="0" xfId="0">
      <alignment horizontal="center"/>
    </xf>
    <xf numFmtId="0" fontId="2" fillId="0" borderId="3" applyAlignment="1" pivotButton="0" quotePrefix="0" xfId="0">
      <alignment horizontal="center" vertical="top"/>
    </xf>
    <xf numFmtId="0" fontId="2" fillId="0" borderId="3" applyAlignment="1" pivotButton="0" quotePrefix="0" xfId="0">
      <alignment vertical="top"/>
    </xf>
    <xf numFmtId="37" fontId="7" fillId="0" borderId="1" applyAlignment="1" pivotButton="0" quotePrefix="0" xfId="0">
      <alignment horizontal="right" vertical="top"/>
    </xf>
    <xf numFmtId="37" fontId="5" fillId="0" borderId="1" applyAlignment="1" pivotButton="0" quotePrefix="0" xfId="0">
      <alignment horizontal="right" vertical="top"/>
    </xf>
    <xf numFmtId="164" fontId="7" fillId="0" borderId="1" applyAlignment="1" pivotButton="0" quotePrefix="0" xfId="0">
      <alignment horizontal="right" vertical="top"/>
    </xf>
    <xf numFmtId="164" fontId="2" fillId="0" borderId="1" applyAlignment="1" pivotButton="0" quotePrefix="0" xfId="0">
      <alignment horizontal="right" vertical="top"/>
    </xf>
    <xf numFmtId="0" fontId="2" fillId="0" borderId="1" applyAlignment="1" pivotButton="0" quotePrefix="0" xfId="0">
      <alignment horizontal="right" vertical="top"/>
    </xf>
    <xf numFmtId="37" fontId="2" fillId="0" borderId="1" applyAlignment="1" pivotButton="0" quotePrefix="0" xfId="0">
      <alignment horizontal="right" vertical="top"/>
    </xf>
    <xf numFmtId="0" fontId="2" fillId="0" borderId="3" applyAlignment="1" pivotButton="0" quotePrefix="0" xfId="0">
      <alignment horizontal="right" vertical="top"/>
    </xf>
    <xf numFmtId="0" fontId="2" fillId="0" borderId="4" applyAlignment="1" pivotButton="0" quotePrefix="0" xfId="0">
      <alignment vertical="top"/>
    </xf>
    <xf numFmtId="37" fontId="5" fillId="0" borderId="4" applyAlignment="1" pivotButton="0" quotePrefix="0" xfId="0">
      <alignment horizontal="right" vertical="top"/>
    </xf>
    <xf numFmtId="0" fontId="8" fillId="0" borderId="1" applyAlignment="1" pivotButton="0" quotePrefix="0" xfId="0">
      <alignment vertical="top"/>
    </xf>
    <xf numFmtId="0" fontId="9" fillId="0" borderId="3" applyAlignment="1" pivotButton="0" quotePrefix="0" xfId="0">
      <alignment horizontal="center" vertical="top"/>
    </xf>
    <xf numFmtId="0" fontId="9" fillId="0" borderId="3" applyAlignment="1" pivotButton="0" quotePrefix="0" xfId="0">
      <alignment vertical="top"/>
    </xf>
    <xf numFmtId="0" fontId="2" fillId="0" borderId="1" applyAlignment="1" pivotButton="0" quotePrefix="0" xfId="0">
      <alignment horizontal="left" vertical="top" indent="1"/>
    </xf>
    <xf numFmtId="0" fontId="9" fillId="0" borderId="5" applyAlignment="1" pivotButton="0" quotePrefix="0" xfId="0">
      <alignment vertical="top"/>
    </xf>
    <xf numFmtId="37" fontId="10" fillId="0" borderId="5" applyAlignment="1" pivotButton="0" quotePrefix="0" xfId="0">
      <alignment horizontal="right" vertical="top"/>
    </xf>
    <xf numFmtId="0" fontId="9" fillId="0" borderId="3" applyAlignment="1" pivotButton="0" quotePrefix="0" xfId="0">
      <alignment horizontal="right" vertical="top"/>
    </xf>
    <xf numFmtId="0" fontId="9" fillId="0" borderId="1" applyAlignment="1" pivotButton="0" quotePrefix="0" xfId="0">
      <alignment vertical="top"/>
    </xf>
    <xf numFmtId="37" fontId="10" fillId="0" borderId="1" applyAlignment="1" pivotButton="0" quotePrefix="0" xfId="0">
      <alignment horizontal="right" vertical="top"/>
    </xf>
    <xf numFmtId="0" fontId="9" fillId="0" borderId="4" applyAlignment="1" pivotButton="0" quotePrefix="0" xfId="0">
      <alignment vertical="top"/>
    </xf>
    <xf numFmtId="37" fontId="10" fillId="0" borderId="4" applyAlignment="1" pivotButton="0" quotePrefix="0" xfId="0">
      <alignment horizontal="right" vertical="top"/>
    </xf>
    <xf numFmtId="0" fontId="11" fillId="0" borderId="2" applyAlignment="1" pivotButton="0" quotePrefix="0" xfId="0">
      <alignment vertical="top"/>
    </xf>
    <xf numFmtId="0" fontId="12" fillId="0" borderId="2" applyAlignment="1" pivotButton="0" quotePrefix="0" xfId="0">
      <alignment vertical="top"/>
    </xf>
    <xf numFmtId="37" fontId="13" fillId="0" borderId="3" applyAlignment="1" pivotButton="0" quotePrefix="0" xfId="0">
      <alignment horizontal="right" vertical="top"/>
    </xf>
    <xf numFmtId="37" fontId="9" fillId="0" borderId="1" applyAlignment="1" pivotButton="0" quotePrefix="0" xfId="0">
      <alignment horizontal="right" vertical="top"/>
    </xf>
    <xf numFmtId="37" fontId="14" fillId="0" borderId="1" applyAlignment="1" pivotButton="0" quotePrefix="0" xfId="0">
      <alignment horizontal="right" vertical="top"/>
    </xf>
    <xf numFmtId="37" fontId="15" fillId="0" borderId="1" applyAlignment="1" pivotButton="0" quotePrefix="0" xfId="0">
      <alignment horizontal="right" vertical="top"/>
    </xf>
    <xf numFmtId="37" fontId="12" fillId="0" borderId="1" applyAlignment="1" pivotButton="0" quotePrefix="0" xfId="0">
      <alignment horizontal="right" vertical="top"/>
    </xf>
    <xf numFmtId="0" fontId="12" fillId="0" borderId="1" applyAlignment="1" pivotButton="0" quotePrefix="0" xfId="0">
      <alignment horizontal="right" vertical="top"/>
    </xf>
    <xf numFmtId="37" fontId="13" fillId="0" borderId="5" applyAlignment="1" pivotButton="0" quotePrefix="0" xfId="0">
      <alignment horizontal="right" vertical="top"/>
    </xf>
    <xf numFmtId="37" fontId="13" fillId="0" borderId="1" applyAlignment="1" pivotButton="0" quotePrefix="0" xfId="0">
      <alignment horizontal="right" vertical="top"/>
    </xf>
    <xf numFmtId="0" fontId="9" fillId="0" borderId="4" applyAlignment="1" pivotButton="0" quotePrefix="0" xfId="0">
      <alignment horizontal="right" vertical="top"/>
    </xf>
    <xf numFmtId="164" fontId="10" fillId="0" borderId="4" applyAlignment="1" pivotButton="0" quotePrefix="0" xfId="0">
      <alignment horizontal="right" vertical="top"/>
    </xf>
    <xf numFmtId="0" fontId="24" fillId="0" borderId="0" applyAlignment="1" pivotButton="0" quotePrefix="0" xfId="0">
      <alignment vertical="top"/>
    </xf>
    <xf numFmtId="0" fontId="25" fillId="0" borderId="0" applyAlignment="1" pivotButton="0" quotePrefix="0" xfId="0">
      <alignment vertical="top"/>
    </xf>
    <xf numFmtId="0" fontId="26" fillId="0" borderId="6" applyAlignment="1" pivotButton="0" quotePrefix="0" xfId="0">
      <alignment vertical="top"/>
    </xf>
    <xf numFmtId="0" fontId="27" fillId="0" borderId="6" applyAlignment="1" pivotButton="0" quotePrefix="0" xfId="0">
      <alignment vertical="top"/>
    </xf>
    <xf numFmtId="0" fontId="28" fillId="0" borderId="7" applyAlignment="1" pivotButton="0" quotePrefix="0" xfId="0">
      <alignment horizontal="center" vertical="top"/>
    </xf>
    <xf numFmtId="0" fontId="29" fillId="0" borderId="0" applyAlignment="1" pivotButton="0" quotePrefix="0" xfId="0">
      <alignment vertical="top"/>
    </xf>
    <xf numFmtId="164" fontId="29" fillId="0" borderId="0" applyAlignment="1" pivotButton="0" quotePrefix="0" xfId="0">
      <alignment horizontal="center" vertical="top"/>
    </xf>
    <xf numFmtId="37" fontId="29" fillId="0" borderId="0" applyAlignment="1" pivotButton="0" quotePrefix="0" xfId="0">
      <alignment horizontal="center" vertical="top"/>
    </xf>
    <xf numFmtId="0" fontId="28" fillId="0" borderId="0" applyAlignment="1" pivotButton="0" quotePrefix="0" xfId="0">
      <alignment horizontal="center" vertical="top"/>
    </xf>
    <xf numFmtId="37" fontId="30" fillId="0" borderId="0" applyAlignment="1" pivotButton="0" quotePrefix="0" xfId="0">
      <alignment horizontal="center" vertical="top"/>
    </xf>
    <xf numFmtId="164" fontId="31" fillId="0" borderId="0" applyAlignment="1" pivotButton="0" quotePrefix="0" xfId="0">
      <alignment horizontal="center" vertical="top"/>
    </xf>
    <xf numFmtId="0" fontId="28" fillId="0" borderId="6" applyAlignment="1" pivotButton="0" quotePrefix="0" xfId="0">
      <alignment vertical="top"/>
    </xf>
    <xf numFmtId="164" fontId="31" fillId="0" borderId="0" applyAlignment="1" pivotButton="0" quotePrefix="0" xfId="0">
      <alignment horizontal="right" vertical="top"/>
    </xf>
    <xf numFmtId="37" fontId="31" fillId="0" borderId="0" applyAlignment="1" pivotButton="0" quotePrefix="0" xfId="0">
      <alignment horizontal="right" vertical="top"/>
    </xf>
    <xf numFmtId="37" fontId="29" fillId="0" borderId="0" applyAlignment="1" pivotButton="0" quotePrefix="0" xfId="0">
      <alignment horizontal="right" vertical="top"/>
    </xf>
    <xf numFmtId="0" fontId="32" fillId="0" borderId="0" applyAlignment="1" pivotButton="0" quotePrefix="0" xfId="0">
      <alignment vertical="top"/>
    </xf>
    <xf numFmtId="37" fontId="29" fillId="0" borderId="8" applyAlignment="1" pivotButton="0" quotePrefix="0" xfId="0">
      <alignment horizontal="right" vertical="top"/>
    </xf>
    <xf numFmtId="37" fontId="28" fillId="0" borderId="8" applyAlignment="1" pivotButton="0" quotePrefix="0" xfId="0">
      <alignment horizontal="right" vertical="top"/>
    </xf>
    <xf numFmtId="166" fontId="31" fillId="0" borderId="0" applyAlignment="1" pivotButton="0" quotePrefix="0" xfId="0">
      <alignment horizontal="right" vertical="top"/>
    </xf>
    <xf numFmtId="0" fontId="29" fillId="0" borderId="0" applyAlignment="1" pivotButton="0" quotePrefix="0" xfId="0">
      <alignment horizontal="left" vertical="top" indent="1"/>
    </xf>
    <xf numFmtId="0" fontId="28" fillId="0" borderId="0" applyAlignment="1" pivotButton="0" quotePrefix="0" xfId="0">
      <alignment vertical="top"/>
    </xf>
    <xf numFmtId="0" fontId="25" fillId="0" borderId="0" applyAlignment="1" pivotButton="0" quotePrefix="0" xfId="0">
      <alignment vertical="top" wrapText="1"/>
    </xf>
    <xf numFmtId="0" fontId="16" fillId="0" borderId="1" applyAlignment="1" pivotButton="0" quotePrefix="0" xfId="0">
      <alignment vertical="top"/>
    </xf>
    <xf numFmtId="37" fontId="17" fillId="0" borderId="1" applyAlignment="1" pivotButton="0" quotePrefix="0" xfId="0">
      <alignment horizontal="right" vertical="top"/>
    </xf>
    <xf numFmtId="164" fontId="17" fillId="0" borderId="1" applyAlignment="1" pivotButton="0" quotePrefix="0" xfId="0">
      <alignment horizontal="right" vertical="top"/>
    </xf>
    <xf numFmtId="0" fontId="17" fillId="0" borderId="1" applyAlignment="1" pivotButton="0" quotePrefix="0" xfId="0">
      <alignment horizontal="right" vertical="top"/>
    </xf>
    <xf numFmtId="0" fontId="33" fillId="0" borderId="1" pivotButton="0" quotePrefix="0" xfId="0"/>
    <xf numFmtId="0" fontId="18" fillId="0" borderId="1" applyAlignment="1" pivotButton="0" quotePrefix="0" xfId="0">
      <alignment vertical="top"/>
    </xf>
    <xf numFmtId="0" fontId="12" fillId="0" borderId="1" applyAlignment="1" pivotButton="0" quotePrefix="0" xfId="0">
      <alignment vertical="top"/>
    </xf>
    <xf numFmtId="0" fontId="12" fillId="0" borderId="9" applyAlignment="1" pivotButton="0" quotePrefix="0" xfId="0">
      <alignment vertical="top"/>
    </xf>
    <xf numFmtId="0" fontId="23" fillId="0" borderId="3" applyAlignment="1" pivotButton="0" quotePrefix="0" xfId="0">
      <alignment horizontal="center"/>
    </xf>
    <xf numFmtId="37" fontId="34" fillId="0" borderId="1" applyAlignment="1" pivotButton="0" quotePrefix="0" xfId="0">
      <alignment horizontal="right"/>
    </xf>
    <xf numFmtId="37" fontId="35" fillId="0" borderId="1" applyAlignment="1" pivotButton="0" quotePrefix="0" xfId="0">
      <alignment horizontal="right"/>
    </xf>
    <xf numFmtId="37" fontId="22" fillId="0" borderId="1" applyAlignment="1" pivotButton="0" quotePrefix="0" xfId="0">
      <alignment horizontal="right"/>
    </xf>
    <xf numFmtId="0" fontId="23" fillId="0" borderId="1" applyAlignment="1" pivotButton="0" quotePrefix="0" xfId="0">
      <alignment horizontal="center"/>
    </xf>
    <xf numFmtId="164" fontId="22" fillId="0" borderId="1" applyAlignment="1" pivotButton="0" quotePrefix="0" xfId="0">
      <alignment horizontal="right"/>
    </xf>
    <xf numFmtId="0" fontId="26" fillId="0" borderId="0" applyAlignment="1" pivotButton="0" quotePrefix="0" xfId="0">
      <alignment vertical="top"/>
    </xf>
    <xf numFmtId="0" fontId="19" fillId="0" borderId="1" applyAlignment="1" pivotButton="0" quotePrefix="0" xfId="0">
      <alignment vertical="top"/>
    </xf>
    <xf numFmtId="0" fontId="36" fillId="0" borderId="2" pivotButton="0" quotePrefix="0" xfId="0"/>
    <xf numFmtId="0" fontId="37" fillId="0" borderId="1" pivotButton="0" quotePrefix="0" xfId="0"/>
    <xf numFmtId="0" fontId="39" fillId="0" borderId="1" pivotButton="0" quotePrefix="0" xfId="0"/>
    <xf numFmtId="0" fontId="40" fillId="0" borderId="1" applyAlignment="1" pivotButton="0" quotePrefix="0" xfId="0">
      <alignment vertical="top"/>
    </xf>
    <xf numFmtId="0" fontId="3" fillId="0" borderId="1" pivotButton="0" quotePrefix="0" xfId="0"/>
    <xf numFmtId="0" fontId="0" fillId="0" borderId="0" pivotButton="0" quotePrefix="0" xfId="0"/>
    <xf numFmtId="165" fontId="41" fillId="0" borderId="1" applyAlignment="1" pivotButton="0" quotePrefix="0" xfId="0">
      <alignment vertical="top"/>
    </xf>
    <xf numFmtId="164" fontId="41" fillId="0" borderId="1" applyAlignment="1" pivotButton="0" quotePrefix="0" xfId="0">
      <alignment vertical="top"/>
    </xf>
    <xf numFmtId="164" fontId="41" fillId="0" borderId="1" pivotButton="0" quotePrefix="0" xfId="0"/>
    <xf numFmtId="164" fontId="41" fillId="0" borderId="1" applyAlignment="1" pivotButton="0" quotePrefix="0" xfId="0">
      <alignment horizontal="center"/>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pPr>
              <a:defRPr sz="750" b="0">
                <a:solidFill>
                  <a:srgbClr val="333333"/>
                </a:solidFill>
                <a:latin typeface="Calibri"/>
              </a:defRPr>
            </a:pPr>
            <a:r>
              <a:rPr lang="en-US" sz="750" b="0">
                <a:solidFill>
                  <a:srgbClr val="333333"/>
                </a:solidFill>
                <a:latin typeface="Calibri"/>
              </a:rPr>
              <a:t>Cumulative Net Cash Impact</a:t>
            </a:r>
            <a:endParaRPr lang="en-US"/>
          </a:p>
        </rich>
      </tx>
      <overlay val="0"/>
      <spPr>
        <a:noFill xmlns:a="http://schemas.openxmlformats.org/drawingml/2006/main"/>
        <a:ln xmlns:a="http://schemas.openxmlformats.org/drawingml/2006/main">
          <a:noFill/>
          <a:prstDash val="solid"/>
        </a:ln>
      </spPr>
    </title>
    <plotArea>
      <layout/>
      <barChart>
        <barDir val="col"/>
        <grouping val="clustered"/>
        <varyColors val="0"/>
        <ser>
          <idx val="0"/>
          <order val="0"/>
          <tx>
            <strRef>
              <f>Dashboard!$C$41</f>
              <strCache>
                <ptCount val="1"/>
                <pt idx="0">
                  <v>Year 1</v>
                </pt>
              </strCache>
            </strRef>
          </tx>
          <spPr>
            <a:ln xmlns:a="http://schemas.openxmlformats.org/drawingml/2006/main" w="19050">
              <a:solidFill>
                <a:srgbClr val="C00000"/>
              </a:solidFill>
              <a:prstDash val="solid"/>
            </a:ln>
          </spPr>
          <invertIfNegative val="0"/>
          <cat>
            <strRef>
              <f>Dashboard!$B$42:$B$43</f>
              <strCache>
                <ptCount val="2"/>
                <pt idx="0">
                  <v>Trad. Cumulative Cash</v>
                </pt>
                <pt idx="1">
                  <v>Captive Cumulative Cash</v>
                </pt>
              </strCache>
            </strRef>
          </cat>
          <val>
            <numRef>
              <f>Dashboard!$C$42:$C$43</f>
              <numCache>
                <formatCode>General</formatCode>
                <ptCount val="2"/>
                <pt idx="0">
                  <v>-250000</v>
                </pt>
                <pt idx="1">
                  <v>-262500</v>
                </pt>
              </numCache>
            </numRef>
          </val>
        </ser>
        <ser>
          <idx val="1"/>
          <order val="1"/>
          <tx>
            <strRef>
              <f>Dashboard!$D$41</f>
              <strCache>
                <ptCount val="1"/>
                <pt idx="0">
                  <v>Year 2</v>
                </pt>
              </strCache>
            </strRef>
          </tx>
          <spPr>
            <a:ln xmlns:a="http://schemas.openxmlformats.org/drawingml/2006/main" w="19050">
              <a:solidFill>
                <a:srgbClr val="4472C4"/>
              </a:solidFill>
              <a:prstDash val="solid"/>
            </a:ln>
          </spPr>
          <invertIfNegative val="0"/>
          <cat>
            <strRef>
              <f>Dashboard!$B$42:$B$43</f>
              <strCache>
                <ptCount val="2"/>
                <pt idx="0">
                  <v>Trad. Cumulative Cash</v>
                </pt>
                <pt idx="1">
                  <v>Captive Cumulative Cash</v>
                </pt>
              </strCache>
            </strRef>
          </cat>
          <val>
            <numRef>
              <f>Dashboard!$D$42:$D$43</f>
              <numCache>
                <formatCode>General</formatCode>
                <ptCount val="2"/>
                <pt idx="0">
                  <v>-523000</v>
                </pt>
                <pt idx="1">
                  <v>-471608.64</v>
                </pt>
              </numCache>
            </numRef>
          </val>
        </ser>
        <ser>
          <idx val="2"/>
          <order val="2"/>
          <tx>
            <strRef>
              <f>Dashboard!$E$41</f>
              <strCache>
                <ptCount val="1"/>
                <pt idx="0">
                  <v>Year 3</v>
                </pt>
              </strCache>
            </strRef>
          </tx>
          <spPr>
            <a:ln xmlns:a="http://schemas.openxmlformats.org/drawingml/2006/main" w="19050">
              <a:prstDash val="solid"/>
            </a:ln>
          </spPr>
          <invertIfNegative val="0"/>
          <cat>
            <strRef>
              <f>Dashboard!$B$42:$B$43</f>
              <strCache>
                <ptCount val="2"/>
                <pt idx="0">
                  <v>Trad. Cumulative Cash</v>
                </pt>
                <pt idx="1">
                  <v>Captive Cumulative Cash</v>
                </pt>
              </strCache>
            </strRef>
          </cat>
          <val>
            <numRef>
              <f>Dashboard!$E$42:$E$43</f>
              <numCache>
                <formatCode>General</formatCode>
                <ptCount val="2"/>
                <pt idx="0">
                  <v>-821116</v>
                </pt>
                <pt idx="1">
                  <v>-672626.4242400001</v>
                </pt>
              </numCache>
            </numRef>
          </val>
        </ser>
        <ser>
          <idx val="3"/>
          <order val="3"/>
          <tx>
            <strRef>
              <f>Dashboard!$F$41</f>
              <strCache>
                <ptCount val="1"/>
                <pt idx="0">
                  <v>Year 4</v>
                </pt>
              </strCache>
            </strRef>
          </tx>
          <spPr>
            <a:ln xmlns:a="http://schemas.openxmlformats.org/drawingml/2006/main" w="19050">
              <a:prstDash val="solid"/>
            </a:ln>
          </spPr>
          <invertIfNegative val="0"/>
          <cat>
            <strRef>
              <f>Dashboard!$B$42:$B$43</f>
              <strCache>
                <ptCount val="2"/>
                <pt idx="0">
                  <v>Trad. Cumulative Cash</v>
                </pt>
                <pt idx="1">
                  <v>Captive Cumulative Cash</v>
                </pt>
              </strCache>
            </strRef>
          </cat>
          <val>
            <numRef>
              <f>Dashboard!$F$42:$F$43</f>
              <numCache>
                <formatCode>General</formatCode>
                <ptCount val="2"/>
                <pt idx="0">
                  <v>-1146658.672</v>
                </pt>
                <pt idx="1">
                  <v>-890250.4185732001</v>
                </pt>
              </numCache>
            </numRef>
          </val>
        </ser>
        <ser>
          <idx val="4"/>
          <order val="4"/>
          <tx>
            <strRef>
              <f>Dashboard!$G$41</f>
              <strCache>
                <ptCount val="1"/>
                <pt idx="0">
                  <v>Year 5</v>
                </pt>
              </strCache>
            </strRef>
          </tx>
          <spPr>
            <a:ln xmlns:a="http://schemas.openxmlformats.org/drawingml/2006/main" w="19050">
              <a:prstDash val="solid"/>
            </a:ln>
          </spPr>
          <invertIfNegative val="0"/>
          <cat>
            <strRef>
              <f>Dashboard!$B$42:$B$43</f>
              <strCache>
                <ptCount val="2"/>
                <pt idx="0">
                  <v>Trad. Cumulative Cash</v>
                </pt>
                <pt idx="1">
                  <v>Captive Cumulative Cash</v>
                </pt>
              </strCache>
            </strRef>
          </cat>
          <val>
            <numRef>
              <f>Dashboard!$G$42:$G$43</f>
              <numCache>
                <formatCode>General</formatCode>
                <ptCount val="2"/>
                <pt idx="0">
                  <v>-1502151.269824</v>
                </pt>
                <pt idx="1">
                  <v>-1125957.433824639</v>
                </pt>
              </numCache>
            </numRef>
          </val>
        </ser>
        <dLbls>
          <showLegendKey val="0"/>
          <showVal val="0"/>
          <showCatName val="0"/>
          <showSerName val="0"/>
          <showPercent val="0"/>
          <showBubbleSize val="0"/>
        </dLbls>
        <gapWidth val="150"/>
        <axId val="34592695"/>
        <axId val="63729750"/>
      </barChart>
      <catAx>
        <axId val="34592695"/>
        <scaling>
          <orientation val="minMax"/>
        </scaling>
        <delete val="0"/>
        <axPos val="b"/>
        <numFmt formatCode="General" sourceLinked="1"/>
        <majorTickMark val="none"/>
        <minorTickMark val="none"/>
        <tickLblPos val="high"/>
        <spPr>
          <a:ln xmlns:a="http://schemas.openxmlformats.org/drawingml/2006/main" w="9525">
            <a:solidFill>
              <a:schemeClr val="tx1">
                <a:lumMod val="15000"/>
                <a:lumOff val="85000"/>
              </a:schemeClr>
            </a:solidFill>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crossAx val="63729750"/>
        <crosses val="autoZero"/>
        <auto val="1"/>
        <lblAlgn val="ctr"/>
        <lblOffset val="0"/>
        <tickMarkSkip val="1"/>
        <noMultiLvlLbl val="1"/>
      </catAx>
      <valAx>
        <axId val="63729750"/>
        <scaling>
          <orientation val="minMax"/>
        </scaling>
        <delete val="0"/>
        <axPos val="l"/>
        <majorGridlines>
          <spPr>
            <a:ln xmlns:a="http://schemas.openxmlformats.org/drawingml/2006/main" w="9525">
              <a:solidFill>
                <a:srgbClr val="D9D9D9"/>
              </a:solidFill>
              <a:prstDash val="solid"/>
            </a:ln>
          </spPr>
        </majorGridlines>
        <numFmt formatCode="#,##0,\K" sourceLinked="0"/>
        <majorTickMark val="none"/>
        <minorTickMark val="none"/>
        <tickLblPos val="nextTo"/>
        <spPr>
          <a:ln xmlns:a="http://schemas.openxmlformats.org/drawingml/2006/main" w="9525">
            <a:solidFill>
              <a:schemeClr val="tx1">
                <a:lumMod val="15000"/>
                <a:lumOff val="85000"/>
              </a:schemeClr>
            </a:solidFill>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crossAx val="34592695"/>
        <crosses val="autoZero"/>
        <crossBetween val="between"/>
      </valAx>
    </plotArea>
    <legend>
      <legendPos val="b"/>
      <overlay val="0"/>
      <spPr>
        <a:noFill xmlns:a="http://schemas.openxmlformats.org/drawingml/2006/main"/>
        <a:ln xmlns:a="http://schemas.openxmlformats.org/drawingml/2006/main">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legend>
    <plotVisOnly val="1"/>
    <dispBlanksAs val="gap"/>
  </chart>
  <spPr>
    <a:solidFill xmlns:a="http://schemas.openxmlformats.org/drawingml/2006/main">
      <a:srgbClr val="FFFFFF"/>
    </a:solidFill>
    <a:ln xmlns:a="http://schemas.openxmlformats.org/drawingml/2006/main" w="9525">
      <a:solidFill>
        <a:schemeClr val="tx1">
          <a:lumMod val="15000"/>
          <a:lumOff val="85000"/>
        </a:schemeClr>
      </a:solidFill>
      <a:prstDash val="solid"/>
    </a:ln>
  </spPr>
</chartSpace>
</file>

<file path=xl/charts/chart2.xml><?xml version="1.0" encoding="utf-8"?>
<chartSpace xmlns="http://schemas.openxmlformats.org/drawingml/2006/chart">
  <chart>
    <title>
      <tx>
        <rich>
          <a:bodyPr xmlns:a="http://schemas.openxmlformats.org/drawingml/2006/main" rot="0" spcFirstLastPara="1" vertOverflow="ellipsis" vert="horz" wrap="square" anchor="ctr" anchorCtr="1"/>
          <a:lstStyle xmlns:a="http://schemas.openxmlformats.org/drawingml/2006/main"/>
          <a:p xmlns:a="http://schemas.openxmlformats.org/drawingml/2006/main">
            <a:pPr>
              <a:defRPr sz="1400" b="0" i="0" strike="noStrike">
                <a:solidFill>
                  <a:schemeClr val="tx1">
                    <a:lumMod val="65000"/>
                    <a:lumOff val="35000"/>
                  </a:schemeClr>
                </a:solidFill>
                <a:latin typeface="+mn-lt"/>
              </a:defRPr>
            </a:pPr>
            <a:r>
              <a:rPr lang="en-US" sz="1400" b="0" i="0" strike="noStrike">
                <a:latin typeface="+mn-lt"/>
              </a:rPr>
              <a:t>YoY Economic Position</a:t>
            </a:r>
            <a:endParaRPr lang="en-US"/>
          </a:p>
        </rich>
      </tx>
      <overlay val="0"/>
      <spPr>
        <a:noFill xmlns:a="http://schemas.openxmlformats.org/drawingml/2006/main"/>
        <a:ln xmlns:a="http://schemas.openxmlformats.org/drawingml/2006/main">
          <a:noFill/>
          <a:prstDash val="solid"/>
        </a:ln>
      </spPr>
    </title>
    <plotArea>
      <layout/>
      <barChart>
        <barDir val="bar"/>
        <grouping val="clustered"/>
        <varyColors val="0"/>
        <ser>
          <idx val="0"/>
          <order val="0"/>
          <tx>
            <v>Traditional</v>
          </tx>
          <spPr>
            <a:solidFill xmlns:a="http://schemas.openxmlformats.org/drawingml/2006/main">
              <a:schemeClr val="accent1"/>
            </a:solidFill>
            <a:ln xmlns:a="http://schemas.openxmlformats.org/drawingml/2006/main">
              <a:noFill/>
              <a:prstDash val="solid"/>
            </a:ln>
          </spPr>
          <invertIfNegative val="0"/>
          <cat>
            <strRef>
              <f>Dashboard!$C$41:$G$41</f>
              <strCache>
                <ptCount val="5"/>
                <pt idx="0">
                  <v>Year 1</v>
                </pt>
                <pt idx="1">
                  <v>Year 2</v>
                </pt>
                <pt idx="2">
                  <v>Year 3</v>
                </pt>
                <pt idx="3">
                  <v>Year 4</v>
                </pt>
                <pt idx="4">
                  <v>Year 5</v>
                </pt>
              </strCache>
            </strRef>
          </cat>
          <val>
            <numRef>
              <f>Dashboard!$C$44:$G$44</f>
              <numCache>
                <formatCode>General</formatCode>
                <ptCount val="5"/>
                <pt idx="0">
                  <v>-250000</v>
                </pt>
                <pt idx="1">
                  <v>-523000</v>
                </pt>
                <pt idx="2">
                  <v>-821116</v>
                </pt>
                <pt idx="3">
                  <v>-1146658.672</v>
                </pt>
                <pt idx="4">
                  <v>-1502151.269824</v>
                </pt>
              </numCache>
            </numRef>
          </val>
        </ser>
        <ser>
          <idx val="1"/>
          <order val="1"/>
          <tx>
            <v>Captive</v>
          </tx>
          <spPr>
            <a:solidFill xmlns:a="http://schemas.openxmlformats.org/drawingml/2006/main">
              <a:schemeClr val="accent2"/>
            </a:solidFill>
            <a:ln xmlns:a="http://schemas.openxmlformats.org/drawingml/2006/main">
              <a:noFill/>
              <a:prstDash val="solid"/>
            </a:ln>
          </spPr>
          <invertIfNegative val="0"/>
          <cat>
            <strRef>
              <f>Dashboard!$C$41:$G$41</f>
              <strCache>
                <ptCount val="5"/>
                <pt idx="0">
                  <v>Year 1</v>
                </pt>
                <pt idx="1">
                  <v>Year 2</v>
                </pt>
                <pt idx="2">
                  <v>Year 3</v>
                </pt>
                <pt idx="3">
                  <v>Year 4</v>
                </pt>
                <pt idx="4">
                  <v>Year 5</v>
                </pt>
              </strCache>
            </strRef>
          </cat>
          <val>
            <numRef>
              <f>Dashboard!$C$45:$G$45</f>
              <numCache>
                <formatCode>General</formatCode>
                <ptCount val="5"/>
                <pt idx="0">
                  <v>-64900</v>
                </pt>
                <pt idx="1">
                  <v>-129335.8</v>
                </pt>
                <pt idx="2">
                  <v>-194007.4798000001</v>
                </pt>
                <pt idx="3">
                  <v>-259910.3889994001</v>
                </pt>
                <pt idx="4">
                  <v>-327030.3994441056</v>
                </pt>
              </numCache>
            </numRef>
          </val>
        </ser>
        <dLbls>
          <showLegendKey val="0"/>
          <showVal val="0"/>
          <showCatName val="0"/>
          <showSerName val="0"/>
          <showPercent val="0"/>
          <showBubbleSize val="0"/>
        </dLbls>
        <gapWidth val="150"/>
        <axId val="92023896"/>
        <axId val="53558121"/>
      </barChart>
      <catAx>
        <axId val="92023896"/>
        <scaling>
          <orientation val="minMax"/>
        </scaling>
        <delete val="0"/>
        <axPos val="l"/>
        <numFmt formatCode="General" sourceLinked="1"/>
        <majorTickMark val="none"/>
        <minorTickMark val="none"/>
        <tickLblPos val="high"/>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a:solidFill>
                  <a:schemeClr val="tx1">
                    <a:lumMod val="65000"/>
                    <a:lumOff val="35000"/>
                  </a:schemeClr>
                </a:solidFill>
                <a:latin typeface="+mn-lt"/>
              </a:defRPr>
            </a:pPr>
            <a:r>
              <a:t/>
            </a:r>
            <a:endParaRPr lang="en-US"/>
          </a:p>
        </txPr>
        <crossAx val="53558121"/>
        <crosses val="autoZero"/>
        <auto val="1"/>
        <lblAlgn val="ctr"/>
        <lblOffset val="0"/>
        <tickMarkSkip val="1"/>
        <noMultiLvlLbl val="1"/>
      </catAx>
      <valAx>
        <axId val="53558121"/>
        <scaling>
          <orientation val="minMax"/>
        </scaling>
        <delete val="0"/>
        <axPos val="b"/>
        <majorGridlines>
          <spPr>
            <a:ln xmlns:a="http://schemas.openxmlformats.org/drawingml/2006/main" w="9525" cap="flat" cmpd="sng" algn="ctr">
              <a:solidFill>
                <a:schemeClr val="tx1">
                  <a:lumMod val="15000"/>
                  <a:lumOff val="85000"/>
                </a:schemeClr>
              </a:solidFill>
              <a:prstDash val="solid"/>
              <a:round/>
            </a:ln>
          </spPr>
        </majorGridlines>
        <numFmt formatCode="\$#,##0" sourceLinked="0"/>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a:solidFill>
                  <a:schemeClr val="tx1">
                    <a:lumMod val="65000"/>
                    <a:lumOff val="35000"/>
                  </a:schemeClr>
                </a:solidFill>
                <a:latin typeface="+mn-lt"/>
              </a:defRPr>
            </a:pPr>
            <a:r>
              <a:t/>
            </a:r>
            <a:endParaRPr lang="en-US"/>
          </a:p>
        </txPr>
        <crossAx val="92023896"/>
        <crosses val="autoZero"/>
        <crossBetween val="between"/>
      </valAx>
    </plotArea>
    <legend>
      <legendPos val="r"/>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900" b="0" i="0" strike="noStrike">
              <a:solidFill>
                <a:schemeClr val="tx1">
                  <a:lumMod val="65000"/>
                  <a:lumOff val="35000"/>
                </a:schemeClr>
              </a:solidFill>
              <a:latin typeface="+mn-lt"/>
            </a:defRPr>
          </a:pPr>
          <a:r>
            <a:t/>
          </a:r>
          <a:endParaRPr lang="en-US"/>
        </a:p>
      </txPr>
    </legend>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pPr>
              <a:defRPr sz="750" b="0">
                <a:solidFill>
                  <a:srgbClr val="333333"/>
                </a:solidFill>
                <a:latin typeface="Calibri"/>
              </a:defRPr>
            </a:pPr>
            <a:r>
              <a:rPr lang="en-US" sz="750" b="0">
                <a:solidFill>
                  <a:srgbClr val="333333"/>
                </a:solidFill>
                <a:latin typeface="Calibri"/>
              </a:rPr>
              <a:t>Captive Cell Equity Buildup</a:t>
            </a:r>
            <a:endParaRPr lang="en-US"/>
          </a:p>
        </rich>
      </tx>
      <overlay val="0"/>
      <spPr>
        <a:noFill xmlns:a="http://schemas.openxmlformats.org/drawingml/2006/main"/>
        <a:ln xmlns:a="http://schemas.openxmlformats.org/drawingml/2006/main">
          <a:noFill/>
          <a:prstDash val="solid"/>
        </a:ln>
      </spPr>
    </title>
    <plotArea>
      <layout/>
      <areaChart>
        <grouping val="standard"/>
        <varyColors val="0"/>
        <ser>
          <idx val="0"/>
          <order val="0"/>
          <tx>
            <v>Cell Equity</v>
          </tx>
          <spPr>
            <a:solidFill xmlns:a="http://schemas.openxmlformats.org/drawingml/2006/main">
              <a:srgbClr val="4472C4"/>
            </a:solidFill>
            <a:ln xmlns:a="http://schemas.openxmlformats.org/drawingml/2006/main" w="19050">
              <a:solidFill>
                <a:srgbClr val="2F5496"/>
              </a:solidFill>
              <a:prstDash val="solid"/>
            </a:ln>
          </spPr>
          <cat>
            <strRef>
              <f>Dashboard!$C$41:$G$41</f>
              <strCache>
                <ptCount val="5"/>
                <pt idx="0">
                  <v>Year 1</v>
                </pt>
                <pt idx="1">
                  <v>Year 2</v>
                </pt>
                <pt idx="2">
                  <v>Year 3</v>
                </pt>
                <pt idx="3">
                  <v>Year 4</v>
                </pt>
                <pt idx="4">
                  <v>Year 5</v>
                </pt>
              </strCache>
            </strRef>
          </cat>
          <val>
            <numRef>
              <f>Dashboard!$C$46:$G$46</f>
              <numCache>
                <formatCode>General</formatCode>
                <ptCount val="5"/>
                <pt idx="0">
                  <v>197600</v>
                </pt>
                <pt idx="1">
                  <v>342272.84</v>
                </pt>
                <pt idx="2">
                  <v>478618.94444</v>
                </pt>
                <pt idx="3">
                  <v>630340.0295738</v>
                </pt>
                <pt idx="4">
                  <v>798927.0343805333</v>
                </pt>
              </numCache>
            </numRef>
          </val>
        </ser>
        <dLbls>
          <showLegendKey val="0"/>
          <showVal val="0"/>
          <showCatName val="0"/>
          <showSerName val="0"/>
          <showPercent val="0"/>
          <showBubbleSize val="0"/>
        </dLbls>
        <axId val="10"/>
        <axId val="100"/>
      </area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b"/>
      <overlay val="0"/>
      <spPr>
        <a:noFill xmlns:a="http://schemas.openxmlformats.org/drawingml/2006/main"/>
        <a:ln xmlns:a="http://schemas.openxmlformats.org/drawingml/2006/main">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legend>
    <plotVisOnly val="1"/>
    <dispBlanksAs val="zero"/>
  </chart>
  <spPr>
    <a:solidFill xmlns:a="http://schemas.openxmlformats.org/drawingml/2006/main">
      <a:srgbClr val="FFFFFF"/>
    </a:solidFill>
    <a:ln xmlns:a="http://schemas.openxmlformats.org/drawingml/2006/main" w="9525">
      <a:solidFill>
        <a:schemeClr val="tx1">
          <a:lumMod val="15000"/>
          <a:lumOff val="85000"/>
        </a:schemeClr>
      </a:solidFill>
      <a:prstDash val="solid"/>
    </a:ln>
  </spPr>
</chartSpace>
</file>

<file path=xl/charts/chart4.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pPr>
              <a:defRPr sz="750" b="0">
                <a:solidFill>
                  <a:srgbClr val="333333"/>
                </a:solidFill>
                <a:latin typeface="Calibri"/>
              </a:defRPr>
            </a:pPr>
            <a:r>
              <a:rPr lang="en-US" sz="750" b="0">
                <a:solidFill>
                  <a:srgbClr val="333333"/>
                </a:solidFill>
                <a:latin typeface="Calibri"/>
              </a:rPr>
              <a:t>Annual Net Cash Flow Impact</a:t>
            </a:r>
            <a:endParaRPr lang="en-US"/>
          </a:p>
        </rich>
      </tx>
      <overlay val="0"/>
      <spPr>
        <a:noFill xmlns:a="http://schemas.openxmlformats.org/drawingml/2006/main"/>
        <a:ln xmlns:a="http://schemas.openxmlformats.org/drawingml/2006/main">
          <a:noFill/>
          <a:prstDash val="solid"/>
        </a:ln>
      </spPr>
    </title>
    <plotArea>
      <layout/>
      <barChart>
        <barDir val="col"/>
        <grouping val="clustered"/>
        <varyColors val="0"/>
        <ser>
          <idx val="0"/>
          <order val="0"/>
          <tx>
            <v>Traditional</v>
          </tx>
          <spPr>
            <a:solidFill xmlns:a="http://schemas.openxmlformats.org/drawingml/2006/main">
              <a:srgbClr val="C00000"/>
            </a:solidFill>
            <a:ln xmlns:a="http://schemas.openxmlformats.org/drawingml/2006/main">
              <a:prstDash val="solid"/>
            </a:ln>
          </spPr>
          <invertIfNegative val="0"/>
          <cat>
            <strRef>
              <f>Dashboard!$C$41:$G$41</f>
              <strCache>
                <ptCount val="5"/>
                <pt idx="0">
                  <v>Year 1</v>
                </pt>
                <pt idx="1">
                  <v>Year 2</v>
                </pt>
                <pt idx="2">
                  <v>Year 3</v>
                </pt>
                <pt idx="3">
                  <v>Year 4</v>
                </pt>
                <pt idx="4">
                  <v>Year 5</v>
                </pt>
              </strCache>
            </strRef>
          </cat>
          <val>
            <numRef>
              <f>Dashboard!$C$47:$G$47</f>
              <numCache>
                <formatCode>General</formatCode>
                <ptCount val="5"/>
                <pt idx="0">
                  <v>-250000</v>
                </pt>
                <pt idx="1">
                  <v>-273000</v>
                </pt>
                <pt idx="2">
                  <v>-298116</v>
                </pt>
                <pt idx="3">
                  <v>-325542.672</v>
                </pt>
                <pt idx="4">
                  <v>-355492.597824</v>
                </pt>
              </numCache>
            </numRef>
          </val>
        </ser>
        <ser>
          <idx val="1"/>
          <order val="1"/>
          <tx>
            <v>Captive</v>
          </tx>
          <spPr>
            <a:solidFill xmlns:a="http://schemas.openxmlformats.org/drawingml/2006/main">
              <a:srgbClr val="4472C4"/>
            </a:solidFill>
            <a:ln xmlns:a="http://schemas.openxmlformats.org/drawingml/2006/main">
              <a:prstDash val="solid"/>
            </a:ln>
          </spPr>
          <invertIfNegative val="0"/>
          <cat>
            <strRef>
              <f>Dashboard!$C$41:$G$41</f>
              <strCache>
                <ptCount val="5"/>
                <pt idx="0">
                  <v>Year 1</v>
                </pt>
                <pt idx="1">
                  <v>Year 2</v>
                </pt>
                <pt idx="2">
                  <v>Year 3</v>
                </pt>
                <pt idx="3">
                  <v>Year 4</v>
                </pt>
                <pt idx="4">
                  <v>Year 5</v>
                </pt>
              </strCache>
            </strRef>
          </cat>
          <val>
            <numRef>
              <f>Dashboard!$C$48:$G$48</f>
              <numCache>
                <formatCode>General</formatCode>
                <ptCount val="5"/>
                <pt idx="0">
                  <v>-262500</v>
                </pt>
                <pt idx="1">
                  <v>-209108.64</v>
                </pt>
                <pt idx="2">
                  <v>-201017.78424</v>
                </pt>
                <pt idx="3">
                  <v>-217623.9943332</v>
                </pt>
                <pt idx="4">
                  <v>-235707.0152514387</v>
                </pt>
              </numCache>
            </numRef>
          </val>
        </ser>
        <dLbls>
          <showLegendKey val="0"/>
          <showVal val="0"/>
          <showCatName val="0"/>
          <showSerName val="0"/>
          <showPercent val="0"/>
          <showBubbleSize val="0"/>
        </dLbls>
        <gapWidth val="150"/>
        <overlap val="-27"/>
        <axId val="24805858"/>
        <axId val="53934097"/>
      </barChart>
      <catAx>
        <axId val="24805858"/>
        <scaling>
          <orientation val="minMax"/>
        </scaling>
        <delete val="0"/>
        <axPos val="b"/>
        <numFmt formatCode="General" sourceLinked="1"/>
        <majorTickMark val="none"/>
        <minorTickMark val="none"/>
        <tickLblPos val="low"/>
        <spPr>
          <a:ln xmlns:a="http://schemas.openxmlformats.org/drawingml/2006/main" w="9525">
            <a:solidFill>
              <a:schemeClr val="tx1">
                <a:lumMod val="15000"/>
                <a:lumOff val="85000"/>
              </a:schemeClr>
            </a:solidFill>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crossAx val="53934097"/>
        <crosses val="autoZero"/>
        <auto val="1"/>
        <lblAlgn val="ctr"/>
        <lblOffset val="0"/>
        <tickMarkSkip val="1"/>
        <noMultiLvlLbl val="1"/>
      </catAx>
      <valAx>
        <axId val="53934097"/>
        <scaling>
          <orientation val="minMax"/>
        </scaling>
        <delete val="0"/>
        <axPos val="l"/>
        <majorGridlines>
          <spPr>
            <a:ln xmlns:a="http://schemas.openxmlformats.org/drawingml/2006/main" w="9525">
              <a:solidFill>
                <a:srgbClr val="D9D9D9"/>
              </a:solidFill>
              <a:prstDash val="solid"/>
            </a:ln>
          </spPr>
        </majorGridlines>
        <numFmt formatCode="\$#,##0" sourceLinked="0"/>
        <majorTickMark val="none"/>
        <minorTickMark val="none"/>
        <tickLblPos val="nextTo"/>
        <spPr>
          <a:ln xmlns:a="http://schemas.openxmlformats.org/drawingml/2006/main" w="9525">
            <a:solidFill>
              <a:schemeClr val="tx1">
                <a:lumMod val="15000"/>
                <a:lumOff val="85000"/>
              </a:schemeClr>
            </a:solidFill>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crossAx val="24805858"/>
        <crosses val="autoZero"/>
        <crossBetween val="between"/>
      </valAx>
    </plotArea>
    <legend>
      <legendPos val="b"/>
      <overlay val="0"/>
      <spPr>
        <a:noFill xmlns:a="http://schemas.openxmlformats.org/drawingml/2006/main"/>
        <a:ln xmlns:a="http://schemas.openxmlformats.org/drawingml/2006/main">
          <a:prstDash val="solid"/>
        </a:ln>
      </spPr>
      <txPr>
        <a:bodyPr xmlns:a="http://schemas.openxmlformats.org/drawingml/2006/main"/>
        <a:lstStyle xmlns:a="http://schemas.openxmlformats.org/drawingml/2006/main"/>
        <a:p xmlns:a="http://schemas.openxmlformats.org/drawingml/2006/main">
          <a:pPr>
            <a:defRPr sz="750" b="0">
              <a:solidFill>
                <a:schemeClr val="tx1">
                  <a:lumMod val="65000"/>
                  <a:lumOff val="35000"/>
                </a:schemeClr>
              </a:solidFill>
              <a:latin typeface="Calibri"/>
            </a:defRPr>
          </a:pPr>
          <a:r>
            <a:t/>
          </a:r>
          <a:endParaRPr lang="en-US"/>
        </a:p>
      </txPr>
    </legend>
    <plotVisOnly val="1"/>
    <dispBlanksAs val="gap"/>
  </chart>
  <spPr>
    <a:solidFill xmlns:a="http://schemas.openxmlformats.org/drawingml/2006/main">
      <a:srgbClr val="FFFFFF"/>
    </a:solidFill>
    <a:ln xmlns:a="http://schemas.openxmlformats.org/drawingml/2006/main" w="9525">
      <a:solidFill>
        <a:schemeClr val="tx1">
          <a:lumMod val="15000"/>
          <a:lumOff val="85000"/>
        </a:schemeClr>
      </a:solidFill>
      <a:prstDash val="solid"/>
    </a:ln>
  </spPr>
</chartSpace>
</file>

<file path=xl/comments/comment1.xml><?xml version="1.0" encoding="utf-8"?>
<comments xmlns="http://schemas.openxmlformats.org/spreadsheetml/2006/main">
  <authors>
    <author>Author</author>
  </authors>
  <commentList>
    <comment ref="D18" authorId="0" shapeId="0">
      <text>
        <t>Multiplier applied to the traditional market premium to derive the captive gross premium. Set below 1.00x to reflect a captive rating differential (e.g., 0.90x = 10% below market); above 1.00x for conservative funding.</t>
      </text>
    </comment>
    <comment ref="D19" authorId="0" shapeId="0">
      <text>
        <t>Premium ceded to reinsurers / the fronting carrier for risk transfer. Distinct from the Fronting Fee below, which is the carrier's fee for issuing paper (an expense, not risk transfer).</t>
      </text>
    </comment>
    <comment ref="D60" authorId="0" shapeId="0">
      <text>
        <t>Minimum Available Equity the cell must hold, expressed as % of next year's expected Net Retained Premium (NRP). Shortfalls trigger a capital call when the toggle below is Yes.</t>
      </text>
    </comment>
  </commentList>
</comments>
</file>

<file path=xl/comments/comment2.xml><?xml version="1.0" encoding="utf-8"?>
<comments xmlns="http://schemas.openxmlformats.org/spreadsheetml/2006/main">
  <authors>
    <author>Author</author>
  </authors>
  <commentList>
    <comment ref="B20" authorId="0" shapeId="0">
      <text>
        <t>Simplification: investment income is earned on beginning-of-year cell funds only (which include assets backing loss reserves). Mid-year premium, claim, dividend, and capital call cash flows earn no return in the year they occur.</t>
      </text>
    </comment>
    <comment ref="B25" authorId="0" shapeId="0">
      <text>
        <t>Minimum capital = Minimum Cell Capital Requirement % (Assumptions) x next year's expected Net Retained Premium. Year 5 uses Year 5 NRP grown by revenue growth and premium trend.</t>
      </text>
    </comment>
    <comment ref="B26" authorId="0" shapeId="0">
      <text>
        <t>Triggers automatically when Available Equity (before call and dividends, net of loss reserves) falls below the Minimum Cell Capital Requirement. Toggle on Assumptions tab.</t>
      </text>
    </comment>
    <comment ref="B27" authorId="0" shapeId="0">
      <text>
        <t>Paid only on positive Total Cell Income, only if no capital call is triggered that year, and capped so Available Equity does not fall below the minimum capital requirement.</t>
      </text>
    </comment>
    <comment ref="G53" authorId="0" shapeId="0">
      <text>
        <t>Illustrative only. Actual redemption subject to board approval, regulatory requirements, and claims run-off.</t>
      </text>
    </comment>
  </commentList>
</comments>
</file>

<file path=xl/comments/comment3.xml><?xml version="1.0" encoding="utf-8"?>
<comments xmlns="http://schemas.openxmlformats.org/spreadsheetml/2006/main">
  <authors>
    <author>Author</author>
  </authors>
  <commentList>
    <comment ref="B32" authorId="0" shapeId="0">
      <text>
        <t>Initial cell capital plus any capital calls triggered over the 5-year horizon.</t>
      </text>
    </comment>
  </commentList>
</comments>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s>
</file>

<file path=xl/drawings/drawing1.xml><?xml version="1.0" encoding="utf-8"?>
<wsDr xmlns="http://schemas.openxmlformats.org/drawingml/2006/spreadsheetDrawing">
  <twoCellAnchor>
    <from>
      <col>0</col>
      <colOff>0</colOff>
      <row>11</row>
      <rowOff>152400</rowOff>
    </from>
    <to>
      <col>6</col>
      <colOff>508000</colOff>
      <row>32</row>
      <rowOff>69850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from>
      <col>6</col>
      <colOff>673100</colOff>
      <row>32</row>
      <rowOff>171450</rowOff>
    </from>
    <to>
      <col>16</col>
      <colOff>165100</colOff>
      <row>56</row>
      <rowOff>57150</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twoCellAnchor>
    <from>
      <col>0</col>
      <colOff>0</colOff>
      <row>32</row>
      <rowOff>165100</rowOff>
    </from>
    <to>
      <col>6</col>
      <colOff>647700</colOff>
      <row>56</row>
      <rowOff>44450</rowOff>
    </to>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twoCellAnchor>
  <twoCellAnchor>
    <from>
      <col>6</col>
      <colOff>609600</colOff>
      <row>11</row>
      <rowOff>76200</rowOff>
    </from>
    <to>
      <col>16</col>
      <colOff>63500</colOff>
      <row>32</row>
      <rowOff>146050</rowOff>
    </to>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7.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H70"/>
  <sheetViews>
    <sheetView showGridLines="0" tabSelected="1" workbookViewId="0">
      <selection activeCell="D34" sqref="D34"/>
    </sheetView>
  </sheetViews>
  <sheetFormatPr baseColWidth="10" defaultColWidth="7.83203125" defaultRowHeight="15" customHeight="1"/>
  <cols>
    <col width="1.5" customWidth="1" style="103" min="1" max="1"/>
    <col width="42.5" customWidth="1" style="103" min="2" max="2"/>
    <col width="1.5" customWidth="1" style="103" min="3" max="3"/>
    <col width="35" customWidth="1" style="103" min="4" max="4"/>
    <col width="12.5" customWidth="1" style="103" min="5" max="5"/>
    <col width="1.5" customWidth="1" style="103" min="6" max="6"/>
    <col width="35" customWidth="1" style="103" min="7" max="7"/>
    <col width="10" customWidth="1" style="103" min="8" max="8"/>
  </cols>
  <sheetData>
    <row r="2" ht="26.25" customHeight="1" s="103">
      <c r="B2" s="1" t="inlineStr">
        <is>
          <t>PCC Group Captive vs. Traditional Insurance — Assumptions</t>
        </is>
      </c>
      <c r="C2" s="2" t="n"/>
      <c r="D2" s="2" t="n"/>
      <c r="E2" s="2" t="n"/>
      <c r="F2" s="2" t="n"/>
      <c r="G2" s="2" t="n"/>
      <c r="H2" s="2" t="n"/>
    </row>
    <row r="3" ht="15" customHeight="1" s="103">
      <c r="B3" s="3" t="inlineStr">
        <is>
          <t>All blue values are adjustable inputs. Black values are calculated.</t>
        </is>
      </c>
      <c r="C3" s="2" t="n"/>
      <c r="D3" s="2" t="n"/>
      <c r="E3" s="2" t="n"/>
      <c r="F3" s="2" t="n"/>
      <c r="G3" s="2" t="n"/>
      <c r="H3" s="2" t="n"/>
    </row>
    <row r="4" ht="15" customHeight="1" s="103">
      <c r="B4" s="2" t="n"/>
      <c r="C4" s="2" t="n"/>
      <c r="D4" s="2" t="n"/>
      <c r="E4" s="2" t="n"/>
      <c r="F4" s="2" t="n"/>
      <c r="G4" s="2" t="n"/>
      <c r="H4" s="2" t="n"/>
    </row>
    <row r="5" ht="15" customHeight="1" s="103">
      <c r="B5" s="4" t="inlineStr">
        <is>
          <t>COMPANY PROFILE</t>
        </is>
      </c>
      <c r="C5" s="5" t="n"/>
      <c r="D5" s="5" t="n"/>
      <c r="E5" s="2" t="n"/>
      <c r="F5" s="2" t="n"/>
      <c r="G5" s="4" t="inlineStr">
        <is>
          <t>PREMIUM MULTIPLIER TABLE</t>
        </is>
      </c>
      <c r="H5" s="5" t="n"/>
    </row>
    <row r="6" ht="15" customHeight="1" s="103">
      <c r="B6" s="2" t="n"/>
      <c r="C6" s="2" t="n"/>
      <c r="D6" s="2" t="n"/>
      <c r="E6" s="2" t="n"/>
      <c r="F6" s="2" t="n"/>
      <c r="G6" s="6" t="inlineStr">
        <is>
          <t>Company Type</t>
        </is>
      </c>
      <c r="H6" s="6" t="inlineStr">
        <is>
          <t>Multiplier</t>
        </is>
      </c>
    </row>
    <row r="7" ht="15" customHeight="1" s="103">
      <c r="B7" s="7" t="inlineStr">
        <is>
          <t>Company Name</t>
        </is>
      </c>
      <c r="C7" s="2" t="n"/>
      <c r="D7" s="8" t="inlineStr">
        <is>
          <t>Bob's Sample Co.</t>
        </is>
      </c>
      <c r="E7" s="2" t="n"/>
      <c r="F7" s="2" t="n"/>
      <c r="G7" s="7" t="inlineStr">
        <is>
          <t>Technology or Equipment Manufacturer</t>
        </is>
      </c>
      <c r="H7" s="9" t="n">
        <v>0.02</v>
      </c>
    </row>
    <row r="8" ht="15" customHeight="1" s="103">
      <c r="B8" s="7" t="inlineStr">
        <is>
          <t>Starting Annual Revenue (Year 1)</t>
        </is>
      </c>
      <c r="C8" s="2" t="n"/>
      <c r="D8" s="10">
        <f>250000/0.02</f>
        <v/>
      </c>
      <c r="E8" s="2" t="n"/>
      <c r="F8" s="2" t="n"/>
      <c r="G8" s="7" t="inlineStr">
        <is>
          <t>Fabricator</t>
        </is>
      </c>
      <c r="H8" s="9" t="n">
        <v>0.02</v>
      </c>
    </row>
    <row r="9" ht="15" customHeight="1" s="103">
      <c r="B9" s="7" t="inlineStr">
        <is>
          <t>Annual Revenue Growth Rate</t>
        </is>
      </c>
      <c r="C9" s="2" t="n"/>
      <c r="D9" s="11" t="n">
        <v>0.04</v>
      </c>
      <c r="E9" s="2" t="n"/>
      <c r="F9" s="2" t="n"/>
      <c r="G9" s="7" t="inlineStr">
        <is>
          <t>Engineering Firm</t>
        </is>
      </c>
      <c r="H9" s="9" t="n">
        <v>0.0225</v>
      </c>
    </row>
    <row r="10" ht="15" customHeight="1" s="103">
      <c r="B10" s="7" t="inlineStr">
        <is>
          <t>Company Type</t>
        </is>
      </c>
      <c r="C10" s="2" t="n"/>
      <c r="D10" s="8" t="inlineStr">
        <is>
          <t>Fabricator</t>
        </is>
      </c>
      <c r="E10" s="2" t="n"/>
      <c r="F10" s="2" t="n"/>
      <c r="G10" s="7" t="inlineStr">
        <is>
          <t>Technical Services Provider</t>
        </is>
      </c>
      <c r="H10" s="9" t="n">
        <v>0.0225</v>
      </c>
    </row>
    <row r="11" ht="15" customHeight="1" s="103">
      <c r="B11" s="7" t="inlineStr">
        <is>
          <t>Insurance Premium Multiplier (% of Revenue)</t>
        </is>
      </c>
      <c r="C11" s="2" t="n"/>
      <c r="D11" s="12">
        <f>INDEX(H7:H13,MATCH(D10,G7:G13,0))</f>
        <v/>
      </c>
      <c r="E11" s="2" t="n"/>
      <c r="F11" s="2" t="n"/>
      <c r="G11" s="7" t="inlineStr">
        <is>
          <t>Construction Entity (EPC)</t>
        </is>
      </c>
      <c r="H11" s="9" t="n">
        <v>0.025</v>
      </c>
    </row>
    <row r="12" ht="15" customHeight="1" s="103">
      <c r="B12" s="7" t="inlineStr">
        <is>
          <t>Custom Multiplier Override (leave blank to use lookup)</t>
        </is>
      </c>
      <c r="C12" s="2" t="n"/>
      <c r="D12" s="9" t="n"/>
      <c r="E12" s="2" t="n"/>
      <c r="F12" s="2" t="n"/>
      <c r="G12" s="7" t="inlineStr">
        <is>
          <t>Vendor/Supplier</t>
        </is>
      </c>
      <c r="H12" s="9" t="n">
        <v>0.02</v>
      </c>
    </row>
    <row r="13" ht="15" customHeight="1" s="103">
      <c r="B13" s="7" t="inlineStr">
        <is>
          <t>Effective Multiplier</t>
        </is>
      </c>
      <c r="C13" s="2" t="n"/>
      <c r="D13" s="12">
        <f>IF(D12="",D11,D12)</f>
        <v/>
      </c>
      <c r="E13" s="2" t="n"/>
      <c r="F13" s="2" t="n"/>
      <c r="G13" s="7" t="inlineStr">
        <is>
          <t>Blended Nuclear Supply Chain Participant</t>
        </is>
      </c>
      <c r="H13" s="9">
        <f>+AVERAGE(H7:H12)</f>
        <v/>
      </c>
    </row>
    <row r="14" ht="15" customHeight="1" s="103">
      <c r="B14" s="7" t="inlineStr">
        <is>
          <t>Estimated Annual Insurance Premium (Year 1)</t>
        </is>
      </c>
      <c r="C14" s="2" t="n"/>
      <c r="D14" s="13">
        <f>D8*D13</f>
        <v/>
      </c>
      <c r="E14" s="2" t="n"/>
      <c r="F14" s="2" t="n"/>
      <c r="G14" s="2" t="n"/>
      <c r="H14" s="2" t="n"/>
    </row>
    <row r="15" ht="15" customHeight="1" s="103">
      <c r="B15" s="2" t="n"/>
      <c r="C15" s="2" t="n"/>
      <c r="D15" s="2" t="n"/>
      <c r="E15" s="2" t="n"/>
      <c r="F15" s="2" t="n"/>
      <c r="G15" s="2" t="n"/>
      <c r="H15" s="2" t="n"/>
    </row>
    <row r="16" ht="15" customHeight="1" s="103">
      <c r="B16" s="4" t="inlineStr">
        <is>
          <t>PREMIUM &amp; PROGRAM STRUCTURE</t>
        </is>
      </c>
      <c r="C16" s="5" t="n"/>
      <c r="D16" s="5" t="n"/>
      <c r="E16" s="2" t="n"/>
      <c r="F16" s="2" t="n"/>
      <c r="G16" s="2" t="n"/>
      <c r="H16" s="2" t="n"/>
    </row>
    <row r="17" ht="15" customHeight="1" s="103">
      <c r="B17" s="2" t="n"/>
      <c r="C17" s="2" t="n"/>
      <c r="D17" s="2" t="n"/>
      <c r="E17" s="2" t="n"/>
      <c r="F17" s="2" t="n"/>
      <c r="G17" s="2" t="n"/>
      <c r="H17" s="2" t="n"/>
    </row>
    <row r="18" ht="15" customHeight="1" s="103">
      <c r="B18" s="7" t="inlineStr">
        <is>
          <t>Captive Premium Factor</t>
        </is>
      </c>
      <c r="C18" s="2" t="n"/>
      <c r="D18" s="104" t="n">
        <v>1</v>
      </c>
      <c r="E18" s="15" t="inlineStr">
        <is>
          <t>Values &lt;1.00× reflect captive rating differential vs. traditional market</t>
        </is>
      </c>
      <c r="F18" s="2" t="n"/>
      <c r="G18" s="2" t="n"/>
      <c r="H18" s="2" t="n"/>
    </row>
    <row r="19" ht="15" customHeight="1" s="103">
      <c r="B19" s="7" t="inlineStr">
        <is>
          <t>Reinsurance Cession Rate (% of Gross Premium Ceded)</t>
        </is>
      </c>
      <c r="C19" s="2" t="n"/>
      <c r="D19" s="105" t="n">
        <v>0.35</v>
      </c>
      <c r="E19" s="2" t="n"/>
      <c r="F19" s="2" t="n"/>
      <c r="G19" s="2" t="n"/>
      <c r="H19" s="2" t="n"/>
    </row>
    <row r="20" ht="15" customHeight="1" s="103">
      <c r="B20" s="7" t="inlineStr">
        <is>
          <t>Fronting Fee % of Gross Premium</t>
        </is>
      </c>
      <c r="C20" s="2" t="n"/>
      <c r="D20" s="105" t="n">
        <v>0.09</v>
      </c>
      <c r="E20" s="2" t="n"/>
      <c r="F20" s="2" t="n"/>
      <c r="G20" s="2" t="n"/>
      <c r="H20" s="2" t="n"/>
    </row>
    <row r="21" ht="15" customHeight="1" s="103">
      <c r="B21" s="17" t="inlineStr">
        <is>
          <t>Captive Admin &amp; Mgmt Fee % of Gross Premium</t>
        </is>
      </c>
      <c r="D21" s="106" t="n">
        <v>0.06</v>
      </c>
    </row>
    <row r="22" ht="15" customHeight="1" s="103">
      <c r="B22" s="100" t="inlineStr">
        <is>
          <t>Retained Layer Stop-Loss (Aggregate)</t>
        </is>
      </c>
      <c r="D22" s="18" t="n"/>
    </row>
    <row r="23" ht="15" customHeight="1" s="103">
      <c r="B23" s="17" t="inlineStr">
        <is>
          <t>Stop Loss Attachment Point (% of Net Retained Premium)</t>
        </is>
      </c>
      <c r="D23" s="18" t="n">
        <v>0.2</v>
      </c>
    </row>
    <row r="24" ht="15" customHeight="1" s="103">
      <c r="B24" s="17" t="inlineStr">
        <is>
          <t>Stop Loss Recovery Rate (fraction of excess recovered)</t>
        </is>
      </c>
      <c r="D24" s="14" t="n">
        <v>1</v>
      </c>
      <c r="E24" s="15" t="inlineStr">
        <is>
          <t>Models aggregate stop-loss on cell retained layer. Net losses to cell = pre-stop incurred − recovery × max(0, excess over attachment). Cost assumed reflected in current 30% cession + fees. Affects Captive tab and all Scenarios blocks</t>
        </is>
      </c>
    </row>
    <row r="25" ht="15" customHeight="1" s="103">
      <c r="B25" s="7" t="inlineStr">
        <is>
          <t>Net Retained Premium % to Cell</t>
        </is>
      </c>
      <c r="C25" s="2" t="n"/>
      <c r="D25" s="19">
        <f>1-D19-D20-D21</f>
        <v/>
      </c>
      <c r="E25" s="2" t="n"/>
      <c r="F25" s="2" t="n"/>
      <c r="G25" s="2" t="n"/>
      <c r="H25" s="2" t="n"/>
    </row>
    <row r="26" ht="15" customHeight="1" s="103">
      <c r="B26" s="2" t="n"/>
      <c r="C26" s="2" t="n"/>
      <c r="D26" s="2" t="n"/>
      <c r="E26" s="2" t="n"/>
      <c r="F26" s="2" t="n"/>
      <c r="G26" s="2" t="n"/>
      <c r="H26" s="2" t="n"/>
    </row>
    <row r="27" ht="15" customHeight="1" s="103">
      <c r="B27" s="4" t="inlineStr">
        <is>
          <t>LOSS / CLAIMS EXPERIENCE (Years 1–5)</t>
        </is>
      </c>
      <c r="C27" s="5" t="n"/>
      <c r="D27" s="5" t="n"/>
      <c r="E27" s="2" t="n"/>
      <c r="F27" s="2" t="n"/>
      <c r="G27" s="2" t="n"/>
      <c r="H27" s="2" t="n"/>
    </row>
    <row r="28" ht="15" customHeight="1" s="103">
      <c r="B28" s="3" t="inlineStr">
        <is>
          <t>Loss ratios apply to the net retained layer after reinsurance and expenses.</t>
        </is>
      </c>
      <c r="C28" s="2" t="n"/>
      <c r="D28" s="2" t="n"/>
      <c r="E28" s="2" t="n"/>
      <c r="F28" s="2" t="n"/>
      <c r="G28" s="2" t="n"/>
      <c r="H28" s="2" t="n"/>
    </row>
    <row r="29" ht="15" customHeight="1" s="103">
      <c r="B29" s="3" t="inlineStr">
        <is>
          <t>Adjust ratios individually to model varying loss experience (e.g., perfect year 0%, adverse year 100% or greater).</t>
        </is>
      </c>
      <c r="C29" s="2" t="n"/>
      <c r="D29" s="2" t="n"/>
      <c r="E29" s="2" t="n"/>
      <c r="F29" s="2" t="n"/>
      <c r="G29" s="2" t="n"/>
      <c r="H29" s="2" t="n"/>
    </row>
    <row r="30" ht="15" customHeight="1" s="103">
      <c r="B30" s="2" t="n"/>
      <c r="C30" s="2" t="n"/>
      <c r="D30" s="2" t="n"/>
      <c r="E30" s="2" t="n"/>
      <c r="F30" s="2" t="n"/>
      <c r="G30" s="2" t="n"/>
      <c r="H30" s="2" t="n"/>
    </row>
    <row r="31" ht="15" customHeight="1" s="103">
      <c r="B31" s="7" t="inlineStr">
        <is>
          <t>Year 1 Loss Ratio (% of Net Retained Premium)</t>
        </is>
      </c>
      <c r="C31" s="2" t="n"/>
      <c r="D31" s="105" t="n">
        <v>0.45</v>
      </c>
      <c r="E31" s="2" t="n"/>
      <c r="F31" s="2" t="n"/>
      <c r="G31" s="2" t="n"/>
      <c r="H31" s="2" t="n"/>
    </row>
    <row r="32" ht="15" customHeight="1" s="103">
      <c r="B32" s="7" t="inlineStr">
        <is>
          <t>Year 2 Loss Ratio (% of Net Retained Premium)</t>
        </is>
      </c>
      <c r="C32" s="2" t="n"/>
      <c r="D32" s="105" t="n">
        <v>0.45</v>
      </c>
      <c r="E32" s="2" t="n"/>
      <c r="F32" s="2" t="n"/>
      <c r="G32" s="2" t="n"/>
      <c r="H32" s="2" t="n"/>
    </row>
    <row r="33" ht="15" customHeight="1" s="103">
      <c r="B33" s="7" t="inlineStr">
        <is>
          <t>Year 3 Loss Ratio (% of Net Retained Premium)</t>
        </is>
      </c>
      <c r="C33" s="2" t="n"/>
      <c r="D33" s="105" t="n">
        <v>0.45</v>
      </c>
      <c r="E33" s="2" t="n"/>
      <c r="F33" s="2" t="n"/>
      <c r="G33" s="2" t="n"/>
      <c r="H33" s="2" t="n"/>
    </row>
    <row r="34" ht="15" customHeight="1" s="103">
      <c r="B34" s="7" t="inlineStr">
        <is>
          <t>Year 4 Loss Ratio (% of Net Retained Premium)</t>
        </is>
      </c>
      <c r="C34" s="2" t="n"/>
      <c r="D34" s="105" t="n">
        <v>0.45</v>
      </c>
      <c r="E34" s="2" t="n"/>
      <c r="F34" s="2" t="n"/>
      <c r="G34" s="2" t="n"/>
      <c r="H34" s="2" t="n"/>
    </row>
    <row r="35" ht="15" customHeight="1" s="103">
      <c r="B35" s="7" t="inlineStr">
        <is>
          <t>Year 5 Loss Ratio (% of Net Retained Premium)</t>
        </is>
      </c>
      <c r="C35" s="2" t="n"/>
      <c r="D35" s="105" t="n">
        <v>0.45</v>
      </c>
      <c r="E35" s="2" t="n"/>
      <c r="F35" s="2" t="n"/>
      <c r="G35" s="2" t="n"/>
      <c r="H35" s="2" t="n"/>
    </row>
    <row r="36" ht="15" customHeight="1" s="103">
      <c r="B36" s="2" t="n"/>
      <c r="C36" s="2" t="n"/>
      <c r="D36" s="2" t="n"/>
      <c r="E36" s="2" t="n"/>
      <c r="F36" s="2" t="n"/>
      <c r="G36" s="2" t="n"/>
      <c r="H36" s="2" t="n"/>
    </row>
    <row r="37" ht="15" customHeight="1" s="103">
      <c r="B37" s="4" t="inlineStr">
        <is>
          <t>CAPTIVE-SPECIFIC ECONOMICS</t>
        </is>
      </c>
      <c r="C37" s="5" t="n"/>
      <c r="D37" s="5" t="n"/>
      <c r="E37" s="2" t="n"/>
      <c r="F37" s="2" t="n"/>
      <c r="G37" s="2" t="n"/>
      <c r="H37" s="2" t="n"/>
    </row>
    <row r="38" ht="15" customHeight="1" s="103">
      <c r="B38" s="2" t="n"/>
      <c r="C38" s="2" t="n"/>
      <c r="D38" s="2" t="n"/>
      <c r="E38" s="2" t="n"/>
      <c r="F38" s="2" t="n"/>
      <c r="G38" s="2" t="n"/>
      <c r="H38" s="2" t="n"/>
    </row>
    <row r="39" ht="15" customHeight="1" s="103">
      <c r="B39" s="7" t="inlineStr">
        <is>
          <t>Initial Cell Capital Contribution (Year 1) as % of Premium</t>
        </is>
      </c>
      <c r="C39" s="2" t="n"/>
      <c r="D39" s="11" t="n">
        <v>0.2</v>
      </c>
      <c r="E39" s="2" t="n"/>
      <c r="F39" s="2" t="n"/>
      <c r="G39" s="2" t="n"/>
      <c r="H39" s="2" t="n"/>
    </row>
    <row r="40" ht="15" customHeight="1" s="103">
      <c r="B40" s="7" t="inlineStr">
        <is>
          <t>Initial Cell Capital Contribution (Year 1)</t>
        </is>
      </c>
      <c r="C40" s="2" t="n"/>
      <c r="D40" s="13">
        <f>+D39*D14</f>
        <v/>
      </c>
      <c r="E40" s="2" t="n"/>
      <c r="F40" s="2" t="n"/>
      <c r="G40" s="2" t="n"/>
      <c r="H40" s="2" t="n"/>
    </row>
    <row r="41" ht="15" customHeight="1" s="103">
      <c r="B41" s="7" t="inlineStr">
        <is>
          <t>Investment Yield on Captive Assets (% p.a.)</t>
        </is>
      </c>
      <c r="C41" s="2" t="n"/>
      <c r="D41" s="105" t="n">
        <v>0.03</v>
      </c>
      <c r="E41" s="2" t="n"/>
      <c r="F41" s="2" t="n"/>
      <c r="G41" s="2" t="n"/>
      <c r="H41" s="2" t="n"/>
    </row>
    <row r="42" ht="15" customHeight="1" s="103">
      <c r="B42" s="7" t="inlineStr">
        <is>
          <t>Dividend Payout Rate (% of positive Total Cell Income)</t>
        </is>
      </c>
      <c r="C42" s="2" t="n"/>
      <c r="D42" s="105" t="n">
        <v>0.25</v>
      </c>
      <c r="E42" s="102" t="inlineStr">
        <is>
          <t>Year 1: Hard-coded at 0%;  Year 2: Value in D42 minus 20 percentage points (absolute reduction).</t>
        </is>
      </c>
      <c r="F42" s="2" t="n"/>
      <c r="G42" s="2" t="n"/>
      <c r="H42" s="2" t="n"/>
    </row>
    <row r="43" ht="15" customHeight="1" s="103">
      <c r="B43" s="7" t="inlineStr">
        <is>
          <t>Premium Trend / Rate Change Factor</t>
        </is>
      </c>
      <c r="C43" s="2" t="n"/>
      <c r="D43" s="11" t="n">
        <v>0.05</v>
      </c>
      <c r="E43" s="2" t="n"/>
      <c r="F43" s="2" t="n"/>
      <c r="G43" s="2" t="n"/>
      <c r="H43" s="2" t="n"/>
    </row>
    <row r="44" ht="15" customHeight="1" s="103">
      <c r="B44" s="2" t="n"/>
      <c r="C44" s="2" t="n"/>
      <c r="D44" s="2" t="n"/>
      <c r="E44" s="2" t="n"/>
      <c r="F44" s="2" t="n"/>
      <c r="G44" s="2" t="n"/>
      <c r="H44" s="2" t="n"/>
    </row>
    <row r="45" ht="15" customHeight="1" s="103">
      <c r="B45" s="4" t="inlineStr">
        <is>
          <t>OTHER GLOBAL ASSUMPTIONS</t>
        </is>
      </c>
      <c r="C45" s="5" t="n"/>
      <c r="D45" s="5" t="n"/>
      <c r="E45" s="2" t="n"/>
      <c r="F45" s="2" t="n"/>
      <c r="G45" s="2" t="n"/>
      <c r="H45" s="2" t="n"/>
    </row>
    <row r="46" ht="15" customHeight="1" s="103">
      <c r="B46" s="2" t="n"/>
      <c r="C46" s="2" t="n"/>
      <c r="D46" s="2" t="n"/>
      <c r="E46" s="2" t="n"/>
      <c r="F46" s="2" t="n"/>
      <c r="G46" s="2" t="n"/>
      <c r="H46" s="2" t="n"/>
    </row>
    <row r="47" ht="15" customHeight="1" s="103">
      <c r="B47" s="7" t="inlineStr">
        <is>
          <t>Discount Rate for NPV</t>
        </is>
      </c>
      <c r="C47" s="2" t="n"/>
      <c r="D47" s="11" t="n">
        <v>0.08</v>
      </c>
      <c r="E47" s="2" t="n"/>
      <c r="F47" s="2" t="n"/>
      <c r="G47" s="2" t="n"/>
      <c r="H47" s="2" t="n"/>
    </row>
    <row r="48" ht="15" customHeight="1" s="103">
      <c r="B48" s="7" t="inlineStr">
        <is>
          <t>Exit at Year 5 (show redemption)</t>
        </is>
      </c>
      <c r="C48" s="2" t="n"/>
      <c r="D48" s="8" t="inlineStr">
        <is>
          <t>No</t>
        </is>
      </c>
      <c r="E48" s="2" t="n"/>
      <c r="F48" s="2" t="n"/>
      <c r="G48" s="2" t="n"/>
      <c r="H48" s="2" t="n"/>
    </row>
    <row r="49" ht="15" customHeight="1" s="103">
      <c r="B49" s="17" t="inlineStr">
        <is>
          <t>Redemption Hold-back for Run-off / IBNR (% of equity)</t>
        </is>
      </c>
      <c r="D49" s="18" t="n">
        <v>0.2</v>
      </c>
      <c r="E49" s="20" t="inlineStr">
        <is>
          <t>Applied to Year 5 redemption value in NPV analysis only</t>
        </is>
      </c>
    </row>
    <row r="51" ht="15" customHeight="1" s="103">
      <c r="B51" s="2" t="inlineStr">
        <is>
          <t>CLAIMS PAYOUT PATTERN</t>
        </is>
      </c>
      <c r="C51" s="2" t="n"/>
      <c r="D51" s="2" t="n"/>
    </row>
    <row r="52" ht="15" customHeight="1" s="103">
      <c r="B52" s="20" t="inlineStr">
        <is>
          <t>Share of each year's incurred losses paid in cash by development lag. Must total 100%.</t>
        </is>
      </c>
    </row>
    <row r="53" ht="15" customHeight="1" s="103">
      <c r="B53" s="17" t="inlineStr">
        <is>
          <t>% Paid in Loss Year (Lag 0)</t>
        </is>
      </c>
      <c r="D53" s="18" t="n">
        <v>0.8</v>
      </c>
    </row>
    <row r="54" ht="15" customHeight="1" s="103">
      <c r="B54" s="17" t="inlineStr">
        <is>
          <t>% Paid in Year +1 (Lag 1)</t>
        </is>
      </c>
      <c r="D54" s="18" t="n">
        <v>0.2</v>
      </c>
    </row>
    <row r="55" ht="15" customHeight="1" s="103">
      <c r="B55" s="17" t="inlineStr">
        <is>
          <t>% Paid in Year +2 (Lag 2)</t>
        </is>
      </c>
      <c r="D55" s="18" t="n">
        <v>0</v>
      </c>
    </row>
    <row r="56" ht="15" customHeight="1" s="103">
      <c r="B56" s="17" t="inlineStr">
        <is>
          <t>% Paid in Year +3+ (Lag 3)</t>
        </is>
      </c>
      <c r="D56" s="18" t="n">
        <v>0</v>
      </c>
    </row>
    <row r="57" ht="15" customHeight="1" s="103">
      <c r="B57" s="21" t="inlineStr">
        <is>
          <t>Total (must equal 100%)</t>
        </is>
      </c>
      <c r="D57" s="22">
        <f>SUM(D53:D56)</f>
        <v/>
      </c>
      <c r="E57" s="20">
        <f>IF(ABS(D57-1)&gt;0.0001,"⚠ Pattern must sum to 100%","OK")</f>
        <v/>
      </c>
    </row>
    <row r="59" ht="15" customHeight="1" s="103">
      <c r="B59" s="2" t="inlineStr">
        <is>
          <t>CAPITAL ADEQUACY &amp; CAPITAL CALLS</t>
        </is>
      </c>
      <c r="C59" s="2" t="n"/>
      <c r="D59" s="2" t="n"/>
    </row>
    <row r="60" ht="15" customHeight="1" s="103">
      <c r="B60" s="17" t="inlineStr">
        <is>
          <t>Minimum Cell Capital Requirement (% of next year's NRP)</t>
        </is>
      </c>
      <c r="D60" s="18" t="n">
        <v>0.2</v>
      </c>
    </row>
    <row r="61" ht="15" customHeight="1" s="103">
      <c r="B61" s="17" t="inlineStr">
        <is>
          <t>Apply Capital Calls (Yes/No)</t>
        </is>
      </c>
      <c r="D61" s="23" t="inlineStr">
        <is>
          <t>Yes</t>
        </is>
      </c>
    </row>
    <row r="63" ht="15" customHeight="1" s="103">
      <c r="B63" s="2" t="inlineStr">
        <is>
          <t>SCENARIO LOSS RATIOS (Scenarios tab)</t>
        </is>
      </c>
      <c r="C63" s="2" t="n"/>
      <c r="D63" s="2" t="n"/>
    </row>
    <row r="64" ht="15" customHeight="1" s="103">
      <c r="B64" s="20" t="inlineStr">
        <is>
          <t>Base Case uses the loss ratios above. Adjust adverse scenarios here; the Scenarios tab updates automatically.</t>
        </is>
      </c>
    </row>
    <row r="65" ht="15" customHeight="1" s="103">
      <c r="D65" s="24" t="inlineStr">
        <is>
          <t>Mod. Adverse</t>
        </is>
      </c>
      <c r="E65" s="24" t="inlineStr">
        <is>
          <t>Severe</t>
        </is>
      </c>
    </row>
    <row r="66" ht="15" customHeight="1" s="103">
      <c r="B66" s="17" t="inlineStr">
        <is>
          <t>Year 1 Loss Ratio (% of Net Retained Premium)</t>
        </is>
      </c>
      <c r="D66" s="107" t="n">
        <v>0.55</v>
      </c>
      <c r="E66" s="107" t="n">
        <v>0.75</v>
      </c>
    </row>
    <row r="67" ht="15" customHeight="1" s="103">
      <c r="B67" s="17" t="inlineStr">
        <is>
          <t>Year 2 Loss Ratio (% of Net Retained Premium)</t>
        </is>
      </c>
      <c r="D67" s="107" t="n">
        <v>0.65</v>
      </c>
      <c r="E67" s="107" t="n">
        <v>1.1</v>
      </c>
    </row>
    <row r="68" ht="15" customHeight="1" s="103">
      <c r="B68" s="17" t="inlineStr">
        <is>
          <t>Year 3 Loss Ratio (% of Net Retained Premium)</t>
        </is>
      </c>
      <c r="D68" s="107" t="n">
        <v>0.8</v>
      </c>
      <c r="E68" s="107" t="n">
        <v>1.25</v>
      </c>
    </row>
    <row r="69" ht="15" customHeight="1" s="103">
      <c r="B69" s="17" t="inlineStr">
        <is>
          <t>Year 4 Loss Ratio (% of Net Retained Premium)</t>
        </is>
      </c>
      <c r="D69" s="107" t="n">
        <v>0.7</v>
      </c>
      <c r="E69" s="107" t="n">
        <v>0.9</v>
      </c>
    </row>
    <row r="70" ht="15" customHeight="1" s="103">
      <c r="B70" s="17" t="inlineStr">
        <is>
          <t>Year 5 Loss Ratio (% of Net Retained Premium)</t>
        </is>
      </c>
      <c r="D70" s="107" t="n">
        <v>0.6</v>
      </c>
      <c r="E70" s="107" t="n">
        <v>0.8</v>
      </c>
    </row>
  </sheetData>
  <dataValidations count="2">
    <dataValidation sqref="D48" showDropDown="0" showInputMessage="1" showErrorMessage="1" allowBlank="1" type="list">
      <formula1>"Yes,No"</formula1>
    </dataValidation>
    <dataValidation sqref="D10" showDropDown="0" showInputMessage="1" showErrorMessage="1" allowBlank="1" promptTitle="Company Type" prompt="Select the company type from the list" type="list">
      <formula1>$G$7:$G$13</formula1>
    </dataValidation>
  </dataValidations>
  <pageMargins left="0.7" right="0.7" top="0.75" bottom="0.75" header="0.3" footer="0.3"/>
  <pageSetup orientation="portrait"/>
  <headerFooter>
    <oddHeader>&amp;L&amp;C&amp;R</oddHeader>
    <oddFooter>&amp;L&amp;C&amp;R</oddFooter>
    <evenHeader/>
    <evenFooter/>
    <firstHeader/>
    <firstFooter/>
  </headerFooter>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B2:H16"/>
  <sheetViews>
    <sheetView showGridLines="0" workbookViewId="0">
      <selection activeCell="I19" sqref="I19"/>
    </sheetView>
  </sheetViews>
  <sheetFormatPr baseColWidth="10" defaultColWidth="7.83203125" defaultRowHeight="15" customHeight="1"/>
  <cols>
    <col width="1.5" customWidth="1" style="103" min="1" max="1"/>
    <col width="28.83203125" customWidth="1" style="103" min="2" max="2"/>
    <col width="13.83203125" customWidth="1" style="103" min="3" max="8"/>
  </cols>
  <sheetData>
    <row r="2" ht="15" customHeight="1" s="103">
      <c r="B2" s="1" t="inlineStr">
        <is>
          <t>Traditional Commercial Insurance — Annual Cash Flows</t>
        </is>
      </c>
      <c r="C2" s="2" t="n"/>
      <c r="D2" s="2" t="n"/>
      <c r="E2" s="2" t="n"/>
      <c r="F2" s="2" t="n"/>
      <c r="G2" s="2" t="n"/>
      <c r="H2" s="2" t="n"/>
    </row>
    <row r="3" ht="15" customHeight="1" s="103">
      <c r="B3" s="2" t="n"/>
      <c r="C3" s="2" t="n"/>
      <c r="D3" s="2" t="n"/>
      <c r="E3" s="2" t="n"/>
      <c r="F3" s="2" t="n"/>
      <c r="G3" s="2" t="n"/>
      <c r="H3" s="2" t="n"/>
    </row>
    <row r="4" ht="15" customHeight="1" s="103">
      <c r="B4" s="2" t="n"/>
      <c r="C4" s="26" t="inlineStr">
        <is>
          <t>Year 1</t>
        </is>
      </c>
      <c r="D4" s="26" t="inlineStr">
        <is>
          <t>Year 2</t>
        </is>
      </c>
      <c r="E4" s="26" t="inlineStr">
        <is>
          <t>Year 3</t>
        </is>
      </c>
      <c r="F4" s="26" t="inlineStr">
        <is>
          <t>Year 4</t>
        </is>
      </c>
      <c r="G4" s="26" t="inlineStr">
        <is>
          <t>Year 5</t>
        </is>
      </c>
      <c r="H4" s="26" t="inlineStr">
        <is>
          <t>Total</t>
        </is>
      </c>
    </row>
    <row r="5" ht="15" customHeight="1" s="103">
      <c r="B5" s="27" t="inlineStr">
        <is>
          <t>INCOME STATEMENT</t>
        </is>
      </c>
      <c r="C5" s="27" t="n"/>
      <c r="D5" s="27" t="n"/>
      <c r="E5" s="27" t="n"/>
      <c r="F5" s="27" t="n"/>
      <c r="G5" s="27" t="n"/>
      <c r="H5" s="27" t="n"/>
    </row>
    <row r="6" ht="15" customHeight="1" s="103">
      <c r="B6" s="2" t="inlineStr">
        <is>
          <t>Revenue</t>
        </is>
      </c>
      <c r="C6" s="28">
        <f t="array" ref="C6">Assumptions!D8</f>
        <v/>
      </c>
      <c r="D6" s="28">
        <f>C6*(1+Assumptions!$D$9)</f>
        <v/>
      </c>
      <c r="E6" s="28">
        <f>D6*(1+Assumptions!$D$9)</f>
        <v/>
      </c>
      <c r="F6" s="28">
        <f>E6*(1+Assumptions!$D$9)</f>
        <v/>
      </c>
      <c r="G6" s="28">
        <f>F6*(1+Assumptions!$D$9)</f>
        <v/>
      </c>
      <c r="H6" s="29">
        <f t="array" ref="H6">G6</f>
        <v/>
      </c>
    </row>
    <row r="7" ht="15" customHeight="1" s="103">
      <c r="B7" s="2" t="inlineStr">
        <is>
          <t>Premium Trend Adjustment</t>
        </is>
      </c>
      <c r="C7" s="30">
        <f>Assumptions!$D$43</f>
        <v/>
      </c>
      <c r="D7" s="30">
        <f>Assumptions!$D$43</f>
        <v/>
      </c>
      <c r="E7" s="30">
        <f>Assumptions!$D$43</f>
        <v/>
      </c>
      <c r="F7" s="30">
        <f>Assumptions!$D$43</f>
        <v/>
      </c>
      <c r="G7" s="30">
        <f>Assumptions!$D$43</f>
        <v/>
      </c>
      <c r="H7" s="31" t="n"/>
    </row>
    <row r="8" ht="15" customHeight="1" s="103">
      <c r="B8" s="2" t="inlineStr">
        <is>
          <t>Gross Premium Paid</t>
        </is>
      </c>
      <c r="C8" s="28">
        <f>C6*Assumptions!D13*(1+C7)^0</f>
        <v/>
      </c>
      <c r="D8" s="28">
        <f>D6*Assumptions!D13*(1+Assumptions!D43)^1</f>
        <v/>
      </c>
      <c r="E8" s="28">
        <f>E6*Assumptions!D13*(1+Assumptions!D43)^2</f>
        <v/>
      </c>
      <c r="F8" s="28">
        <f>F6*Assumptions!D13*(1+Assumptions!D43)^3</f>
        <v/>
      </c>
      <c r="G8" s="28">
        <f>G6*Assumptions!D13*(1+Assumptions!D43)^4</f>
        <v/>
      </c>
      <c r="H8" s="29">
        <f>SUM(C8:G8)</f>
        <v/>
      </c>
    </row>
    <row r="9" ht="15" customHeight="1" s="103">
      <c r="B9" s="2" t="n"/>
      <c r="C9" s="32" t="n"/>
      <c r="D9" s="32" t="n"/>
      <c r="E9" s="32" t="n"/>
      <c r="F9" s="32" t="n"/>
      <c r="G9" s="32" t="n"/>
      <c r="H9" s="32" t="n"/>
    </row>
    <row r="10" ht="15" customHeight="1" s="103">
      <c r="B10" s="2" t="inlineStr">
        <is>
          <t>Dividends / Other Income</t>
        </is>
      </c>
      <c r="C10" s="33" t="n"/>
      <c r="D10" s="33" t="n">
        <v>0</v>
      </c>
      <c r="E10" s="33" t="n">
        <v>0</v>
      </c>
      <c r="F10" s="33" t="n">
        <v>0</v>
      </c>
      <c r="G10" s="33" t="n">
        <v>0</v>
      </c>
      <c r="H10" s="29">
        <f>SUM(C10:G10)</f>
        <v/>
      </c>
    </row>
    <row r="11" ht="15" customHeight="1" s="103">
      <c r="B11" s="27" t="inlineStr">
        <is>
          <t>CASH FLOW SUMMARY</t>
        </is>
      </c>
      <c r="C11" s="34" t="n"/>
      <c r="D11" s="34" t="n"/>
      <c r="E11" s="34" t="n"/>
      <c r="F11" s="34" t="n"/>
      <c r="G11" s="34" t="n"/>
      <c r="H11" s="34" t="n"/>
    </row>
    <row r="12" ht="15" customHeight="1" s="103">
      <c r="B12" s="2" t="inlineStr">
        <is>
          <t>Net Annual Cash Impact</t>
        </is>
      </c>
      <c r="C12" s="29">
        <f>-C8+C10</f>
        <v/>
      </c>
      <c r="D12" s="29">
        <f>-D8+D10</f>
        <v/>
      </c>
      <c r="E12" s="29">
        <f>-E8+E10</f>
        <v/>
      </c>
      <c r="F12" s="29">
        <f>-F8+F10</f>
        <v/>
      </c>
      <c r="G12" s="29">
        <f>-G8+G10</f>
        <v/>
      </c>
      <c r="H12" s="29">
        <f>SUM(C12:G12)</f>
        <v/>
      </c>
    </row>
    <row r="13" ht="15" customHeight="1" s="103">
      <c r="B13" s="2" t="inlineStr">
        <is>
          <t>Cumulative Net Cash Impact</t>
        </is>
      </c>
      <c r="C13" s="29">
        <f t="array" ref="C13">C12</f>
        <v/>
      </c>
      <c r="D13" s="29">
        <f>C13+D12</f>
        <v/>
      </c>
      <c r="E13" s="29">
        <f>D13+E12</f>
        <v/>
      </c>
      <c r="F13" s="29">
        <f>E13+F12</f>
        <v/>
      </c>
      <c r="G13" s="29">
        <f>F13+G12</f>
        <v/>
      </c>
      <c r="H13" s="29">
        <f t="array" ref="H13">G13</f>
        <v/>
      </c>
    </row>
    <row r="14" ht="15" customHeight="1" s="103">
      <c r="B14" s="27" t="inlineStr">
        <is>
          <t>BALANCE SHEET POSITION</t>
        </is>
      </c>
      <c r="C14" s="34" t="n"/>
      <c r="D14" s="34" t="n"/>
      <c r="E14" s="34" t="n"/>
      <c r="F14" s="34" t="n"/>
      <c r="G14" s="34" t="n"/>
      <c r="H14" s="34" t="n"/>
    </row>
    <row r="15" ht="15" customHeight="1" s="103">
      <c r="B15" s="2" t="inlineStr">
        <is>
          <t>Equity / Asset Value</t>
        </is>
      </c>
      <c r="C15" s="33" t="n"/>
      <c r="D15" s="33" t="n">
        <v>0</v>
      </c>
      <c r="E15" s="33" t="n">
        <v>0</v>
      </c>
      <c r="F15" s="33" t="n">
        <v>0</v>
      </c>
      <c r="G15" s="33" t="n">
        <v>0</v>
      </c>
      <c r="H15" s="33" t="n">
        <v>0</v>
      </c>
    </row>
    <row r="16" ht="15" customHeight="1" s="103">
      <c r="B16" s="35" t="inlineStr">
        <is>
          <t>Total Economic Position</t>
        </is>
      </c>
      <c r="C16" s="36">
        <f>C13+C15</f>
        <v/>
      </c>
      <c r="D16" s="36">
        <f>D13+D15</f>
        <v/>
      </c>
      <c r="E16" s="36">
        <f>E13+E15</f>
        <v/>
      </c>
      <c r="F16" s="36">
        <f>F13+F15</f>
        <v/>
      </c>
      <c r="G16" s="36">
        <f>G13+G15</f>
        <v/>
      </c>
      <c r="H16" s="36">
        <f t="array" ref="H16">G16</f>
        <v/>
      </c>
    </row>
  </sheetData>
  <pageMargins left="0.7" right="0.7" top="0.75" bottom="0.75" header="0.3" footer="0.3"/>
  <pageSetup orientation="portrait"/>
  <headerFooter>
    <oddHeader>&amp;L&amp;C&amp;R</oddHeader>
    <oddFooter>&amp;L&amp;C&amp;R</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I53"/>
  <sheetViews>
    <sheetView showGridLines="0" workbookViewId="0">
      <selection activeCell="B27" sqref="B27"/>
    </sheetView>
  </sheetViews>
  <sheetFormatPr baseColWidth="10" defaultColWidth="7.83203125" defaultRowHeight="15" customHeight="1"/>
  <cols>
    <col width="1.5" customWidth="1" style="103" min="1" max="1"/>
    <col width="35.83203125" customWidth="1" style="103" min="2" max="2"/>
    <col width="13.83203125" customWidth="1" style="103" min="3" max="8"/>
  </cols>
  <sheetData>
    <row r="2" ht="24" customHeight="1" s="103">
      <c r="B2" s="37" t="inlineStr">
        <is>
          <t>Protected Cell Captive (PCC) — Annual Economics &amp; Equity Roll-Forward</t>
        </is>
      </c>
      <c r="C2" s="2" t="n"/>
      <c r="D2" s="2" t="n"/>
      <c r="E2" s="2" t="n"/>
      <c r="F2" s="2" t="n"/>
      <c r="G2" s="2" t="n"/>
      <c r="H2" s="2" t="n"/>
    </row>
    <row r="3" ht="15" customHeight="1" s="103">
      <c r="B3" s="2" t="n"/>
      <c r="C3" s="2" t="n"/>
      <c r="D3" s="2" t="n"/>
      <c r="E3" s="2" t="n"/>
      <c r="F3" s="2" t="n"/>
      <c r="G3" s="2" t="n"/>
      <c r="H3" s="2" t="n"/>
    </row>
    <row r="4" ht="15" customHeight="1" s="103">
      <c r="B4" s="2" t="n"/>
      <c r="C4" s="38" t="inlineStr">
        <is>
          <t>Year 1</t>
        </is>
      </c>
      <c r="D4" s="38" t="inlineStr">
        <is>
          <t>Year 2</t>
        </is>
      </c>
      <c r="E4" s="38" t="inlineStr">
        <is>
          <t>Year 3</t>
        </is>
      </c>
      <c r="F4" s="38" t="inlineStr">
        <is>
          <t>Year 4</t>
        </is>
      </c>
      <c r="G4" s="38" t="inlineStr">
        <is>
          <t>Year 5</t>
        </is>
      </c>
      <c r="H4" s="38" t="inlineStr">
        <is>
          <t>Total</t>
        </is>
      </c>
    </row>
    <row r="5" ht="15" customHeight="1" s="103">
      <c r="B5" s="39" t="inlineStr">
        <is>
          <t>PREMIUM STRUCTURE</t>
        </is>
      </c>
      <c r="C5" s="27" t="n"/>
      <c r="D5" s="27" t="n"/>
      <c r="E5" s="27" t="n"/>
      <c r="F5" s="27" t="n"/>
      <c r="G5" s="27" t="n"/>
      <c r="H5" s="27" t="n"/>
    </row>
    <row r="6" ht="15" customHeight="1" s="103">
      <c r="B6" s="2" t="inlineStr">
        <is>
          <t>Revenue</t>
        </is>
      </c>
      <c r="C6" s="28">
        <f t="array" ref="C6">Traditional!C6</f>
        <v/>
      </c>
      <c r="D6" s="28">
        <f t="array" ref="D6">Traditional!D6</f>
        <v/>
      </c>
      <c r="E6" s="28">
        <f t="array" ref="E6">Traditional!E6</f>
        <v/>
      </c>
      <c r="F6" s="28">
        <f t="array" ref="F6">Traditional!F6</f>
        <v/>
      </c>
      <c r="G6" s="28">
        <f t="array" ref="G6">Traditional!G6</f>
        <v/>
      </c>
      <c r="H6" s="29">
        <f>SUM(C6:G6)</f>
        <v/>
      </c>
    </row>
    <row r="7" ht="15" customHeight="1" s="103">
      <c r="B7" s="2" t="inlineStr">
        <is>
          <t>Gross Premium (incl. Captive Factor)</t>
        </is>
      </c>
      <c r="C7" s="28">
        <f>C6*Assumptions!$D$13*Assumptions!$D$18*(1+Assumptions!$D$43)^0</f>
        <v/>
      </c>
      <c r="D7" s="28">
        <f>D6*Assumptions!$D$13*Assumptions!$D$18*(1+Assumptions!$D$43)^1</f>
        <v/>
      </c>
      <c r="E7" s="28">
        <f>E6*Assumptions!$D$13*Assumptions!$D$18*(1+Assumptions!$D$43)^2</f>
        <v/>
      </c>
      <c r="F7" s="28">
        <f>F6*Assumptions!$D$13*Assumptions!$D$18*(1+Assumptions!$D$43)^3</f>
        <v/>
      </c>
      <c r="G7" s="28">
        <f>G6*Assumptions!$D$13*Assumptions!$D$18*(1+Assumptions!$D$43)^4</f>
        <v/>
      </c>
      <c r="H7" s="29">
        <f>SUM(C7:G7)</f>
        <v/>
      </c>
    </row>
    <row r="8" ht="15" customHeight="1" s="103">
      <c r="B8" s="40" t="inlineStr">
        <is>
          <t xml:space="preserve">  Less: Reinsurance / Fronting Ceded</t>
        </is>
      </c>
      <c r="C8" s="28">
        <f>-C7*Assumptions!$D$19</f>
        <v/>
      </c>
      <c r="D8" s="28">
        <f>-D7*Assumptions!$D$19</f>
        <v/>
      </c>
      <c r="E8" s="28">
        <f>-E7*Assumptions!$D$19</f>
        <v/>
      </c>
      <c r="F8" s="28">
        <f>-F7*Assumptions!$D$19</f>
        <v/>
      </c>
      <c r="G8" s="28">
        <f>-G7*Assumptions!$D$19</f>
        <v/>
      </c>
      <c r="H8" s="29">
        <f>SUM(C8:G8)</f>
        <v/>
      </c>
    </row>
    <row r="9" ht="15" customHeight="1" s="103">
      <c r="B9" s="40" t="inlineStr">
        <is>
          <t xml:space="preserve">  Less: Fronting Fee</t>
        </is>
      </c>
      <c r="C9" s="28">
        <f>-C7*Assumptions!$D$20</f>
        <v/>
      </c>
      <c r="D9" s="28">
        <f>-D7*Assumptions!$D$20</f>
        <v/>
      </c>
      <c r="E9" s="28">
        <f>-E7*Assumptions!$D$20</f>
        <v/>
      </c>
      <c r="F9" s="28">
        <f>-F7*Assumptions!$D$20</f>
        <v/>
      </c>
      <c r="G9" s="28">
        <f>-G7*Assumptions!$D$20</f>
        <v/>
      </c>
      <c r="H9" s="29">
        <f>SUM(C9:G9)</f>
        <v/>
      </c>
    </row>
    <row r="10" ht="15" customHeight="1" s="103">
      <c r="B10" s="40" t="inlineStr">
        <is>
          <t xml:space="preserve">  Less: Captive Admin &amp; Mgmt Fee</t>
        </is>
      </c>
      <c r="C10" s="28">
        <f>-C7*Assumptions!$D$21</f>
        <v/>
      </c>
      <c r="D10" s="28">
        <f>-D7*Assumptions!$D$21</f>
        <v/>
      </c>
      <c r="E10" s="28">
        <f>-E7*Assumptions!$D$21</f>
        <v/>
      </c>
      <c r="F10" s="28">
        <f>-F7*Assumptions!$D$21</f>
        <v/>
      </c>
      <c r="G10" s="28">
        <f>-G7*Assumptions!$D$21</f>
        <v/>
      </c>
      <c r="H10" s="29">
        <f>SUM(C10:G10)</f>
        <v/>
      </c>
    </row>
    <row r="11" ht="15" customHeight="1" s="103">
      <c r="B11" s="41" t="inlineStr">
        <is>
          <t>Net Retained Premium to Cell</t>
        </is>
      </c>
      <c r="C11" s="42">
        <f>C7+C8+C9+C10</f>
        <v/>
      </c>
      <c r="D11" s="42">
        <f>D7+D8+D9+D10</f>
        <v/>
      </c>
      <c r="E11" s="42">
        <f>E7+E8+E9+E10</f>
        <v/>
      </c>
      <c r="F11" s="42">
        <f>F7+F8+F9+F10</f>
        <v/>
      </c>
      <c r="G11" s="42">
        <f>G7+G8+G9+G10</f>
        <v/>
      </c>
      <c r="H11" s="42">
        <f>SUM(C11:G11)</f>
        <v/>
      </c>
    </row>
    <row r="12" ht="15" customHeight="1" s="103">
      <c r="B12" s="2" t="n"/>
      <c r="C12" s="32" t="n"/>
      <c r="D12" s="32" t="n"/>
      <c r="E12" s="32" t="n"/>
      <c r="F12" s="32" t="n"/>
      <c r="G12" s="32" t="n"/>
      <c r="H12" s="32" t="n"/>
    </row>
    <row r="13" ht="15" customHeight="1" s="103">
      <c r="B13" s="39" t="inlineStr">
        <is>
          <t>UNDERWRITING &amp; CLAIMS</t>
        </is>
      </c>
      <c r="C13" s="43" t="n"/>
      <c r="D13" s="43" t="n"/>
      <c r="E13" s="43" t="n"/>
      <c r="F13" s="43" t="n"/>
      <c r="G13" s="43" t="n"/>
      <c r="H13" s="43" t="n"/>
    </row>
    <row r="14" ht="15" customHeight="1" s="103">
      <c r="B14" s="101" t="inlineStr">
        <is>
          <t>Losses Incurred (Pre-Stop Loss)</t>
        </is>
      </c>
      <c r="C14" s="28">
        <f>-C11*Assumptions!$D$31</f>
        <v/>
      </c>
      <c r="D14" s="28">
        <f>-D11*Assumptions!$D$32</f>
        <v/>
      </c>
      <c r="E14" s="28">
        <f>-E11*Assumptions!$D$33</f>
        <v/>
      </c>
      <c r="F14" s="28">
        <f>-F11*Assumptions!$D$34</f>
        <v/>
      </c>
      <c r="G14" s="28">
        <f>-G11*Assumptions!$D$35</f>
        <v/>
      </c>
      <c r="H14" s="29">
        <f>SUM(C14:G14)</f>
        <v/>
      </c>
    </row>
    <row r="15" ht="15" customHeight="1" s="103">
      <c r="B15" s="101" t="inlineStr">
        <is>
          <t>Stop Loss Recovery (Claims Paid by Reinsurance)</t>
        </is>
      </c>
      <c r="C15" s="28">
        <f>IF(-C14&gt;Assumptions!$D$23*C11,Assumptions!$D$24*(-C14-Assumptions!$D$23*C11),0)</f>
        <v/>
      </c>
      <c r="D15" s="28">
        <f>IF(-D14&gt;Assumptions!$D$23*D11,Assumptions!$D$24*(-D14-Assumptions!$D$23*D11),0)</f>
        <v/>
      </c>
      <c r="E15" s="28">
        <f>IF(-E14&gt;Assumptions!$D$23*E11,Assumptions!$D$24*(-E14-Assumptions!$D$23*E11),0)</f>
        <v/>
      </c>
      <c r="F15" s="28">
        <f>IF(-F14&gt;Assumptions!$D$23*F11,Assumptions!$D$24*(-F14-Assumptions!$D$23*F11),0)</f>
        <v/>
      </c>
      <c r="G15" s="28">
        <f>IF(-G14&gt;Assumptions!$D$23*G11,Assumptions!$D$24*(-G14-Assumptions!$D$23*G11),0)</f>
        <v/>
      </c>
      <c r="H15" s="29">
        <f>SUM(C15:G15)</f>
        <v/>
      </c>
      <c r="I15" s="28" t="n"/>
    </row>
    <row r="16" ht="15" customHeight="1" s="103">
      <c r="B16" s="101" t="inlineStr">
        <is>
          <t xml:space="preserve">  Claims Paid in Cash by Cell</t>
        </is>
      </c>
      <c r="C16" s="28">
        <f>+-C14-C15</f>
        <v/>
      </c>
      <c r="D16" s="28">
        <f>+-D14-D15</f>
        <v/>
      </c>
      <c r="E16" s="28">
        <f>+-E14-E15</f>
        <v/>
      </c>
      <c r="F16" s="28">
        <f>+-F14-F15</f>
        <v/>
      </c>
      <c r="G16" s="28">
        <f>+-G14-G15</f>
        <v/>
      </c>
      <c r="H16" s="29">
        <f>SUM(C16:G16)</f>
        <v/>
      </c>
    </row>
    <row r="17" ht="15" customHeight="1" s="103">
      <c r="B17" s="2" t="inlineStr">
        <is>
          <t>Ending Loss Reserves (unpaid claims)</t>
        </is>
      </c>
      <c r="C17" s="28">
        <f>+C14+C15+C16</f>
        <v/>
      </c>
      <c r="D17" s="28">
        <f>+D14+D15+D16</f>
        <v/>
      </c>
      <c r="E17" s="28">
        <f>+E14+E15+E16</f>
        <v/>
      </c>
      <c r="F17" s="28">
        <f>+F14+F15+F16</f>
        <v/>
      </c>
      <c r="G17" s="28">
        <f>+G14+G15+G16</f>
        <v/>
      </c>
      <c r="H17" s="29">
        <f t="array" ref="H17">G17</f>
        <v/>
      </c>
    </row>
    <row r="18" ht="15" customHeight="1" s="103">
      <c r="B18" s="41" t="inlineStr">
        <is>
          <t>Underwriting Result</t>
        </is>
      </c>
      <c r="C18" s="42">
        <f>+SUM(C11,C14,C15)</f>
        <v/>
      </c>
      <c r="D18" s="42">
        <f>+SUM(D11,D14,D15)</f>
        <v/>
      </c>
      <c r="E18" s="42">
        <f>+SUM(E11,E14,E15)</f>
        <v/>
      </c>
      <c r="F18" s="42">
        <f>+SUM(F11,F14,F15)</f>
        <v/>
      </c>
      <c r="G18" s="42">
        <f>+SUM(G11,G14,G15)</f>
        <v/>
      </c>
      <c r="H18" s="42">
        <f>+SUM(H11,H14,H15)</f>
        <v/>
      </c>
    </row>
    <row r="19" ht="15" customHeight="1" s="103">
      <c r="B19" s="2" t="n"/>
      <c r="C19" s="32" t="n"/>
      <c r="D19" s="32" t="n"/>
      <c r="E19" s="32" t="n"/>
      <c r="F19" s="32" t="n"/>
      <c r="G19" s="32" t="n"/>
      <c r="H19" s="32" t="n"/>
    </row>
    <row r="20" ht="15" customHeight="1" s="103">
      <c r="B20" s="2" t="inlineStr">
        <is>
          <t>Investment Income</t>
        </is>
      </c>
      <c r="C20" s="28">
        <f>C31*Assumptions!$D$41</f>
        <v/>
      </c>
      <c r="D20" s="28">
        <f>D31*Assumptions!$D$41</f>
        <v/>
      </c>
      <c r="E20" s="28">
        <f>E31*Assumptions!$D$41</f>
        <v/>
      </c>
      <c r="F20" s="28">
        <f>F31*Assumptions!$D$41</f>
        <v/>
      </c>
      <c r="G20" s="28">
        <f>G31*Assumptions!$D$41</f>
        <v/>
      </c>
      <c r="H20" s="29">
        <f>SUM(C20:G20)</f>
        <v/>
      </c>
    </row>
    <row r="21" ht="15" customHeight="1" s="103">
      <c r="B21" s="41" t="inlineStr">
        <is>
          <t>Total Cell Income</t>
        </is>
      </c>
      <c r="C21" s="42">
        <f>C18+C20</f>
        <v/>
      </c>
      <c r="D21" s="42">
        <f>D18+D20</f>
        <v/>
      </c>
      <c r="E21" s="42">
        <f>E18+E20</f>
        <v/>
      </c>
      <c r="F21" s="42">
        <f>F18+F20</f>
        <v/>
      </c>
      <c r="G21" s="42">
        <f>G18+G20</f>
        <v/>
      </c>
      <c r="H21" s="42">
        <f>SUM(C21:G21)</f>
        <v/>
      </c>
    </row>
    <row r="22" ht="15" customHeight="1" s="103">
      <c r="B22" s="2" t="n"/>
      <c r="C22" s="32" t="n"/>
      <c r="D22" s="32" t="n"/>
      <c r="E22" s="32" t="n"/>
      <c r="F22" s="32" t="n"/>
      <c r="G22" s="32" t="n"/>
      <c r="H22" s="32" t="n"/>
    </row>
    <row r="23" ht="15" customHeight="1" s="103">
      <c r="B23" s="39" t="inlineStr">
        <is>
          <t>CAPITAL ADEQUACY &amp; DISTRIBUTIONS</t>
        </is>
      </c>
      <c r="C23" s="43" t="n"/>
      <c r="D23" s="43" t="n"/>
      <c r="E23" s="43" t="n"/>
      <c r="F23" s="43" t="n"/>
      <c r="G23" s="43" t="n"/>
      <c r="H23" s="43" t="n"/>
    </row>
    <row r="24" ht="15" customHeight="1" s="103">
      <c r="B24" s="2" t="inlineStr">
        <is>
          <t>Available Equity before Call &amp; Dividends</t>
        </is>
      </c>
      <c r="C24" s="29">
        <f>+C11+C21</f>
        <v/>
      </c>
      <c r="D24" s="29">
        <f>+D11+D21</f>
        <v/>
      </c>
      <c r="E24" s="29">
        <f>+E11+E21</f>
        <v/>
      </c>
      <c r="F24" s="29">
        <f>+F11+F21</f>
        <v/>
      </c>
      <c r="G24" s="29">
        <f>+G11+G21</f>
        <v/>
      </c>
      <c r="H24" s="29" t="n"/>
    </row>
    <row r="25" ht="15" customHeight="1" s="103">
      <c r="B25" s="2" t="inlineStr">
        <is>
          <t>Minimum Cell Capital Requirement</t>
        </is>
      </c>
      <c r="C25" s="28">
        <f>Assumptions!$D$60*D11</f>
        <v/>
      </c>
      <c r="D25" s="28">
        <f>Assumptions!$D$60*E11</f>
        <v/>
      </c>
      <c r="E25" s="28">
        <f>Assumptions!$D$60*F11</f>
        <v/>
      </c>
      <c r="F25" s="28">
        <f>Assumptions!$D$60*G11</f>
        <v/>
      </c>
      <c r="G25" s="28">
        <f>Assumptions!$D$60*G11*(1+Assumptions!$D$9)*(1+Assumptions!$D$43)</f>
        <v/>
      </c>
      <c r="H25" s="29" t="n"/>
    </row>
    <row r="26" ht="15" customHeight="1" s="103">
      <c r="B26" s="2" t="inlineStr">
        <is>
          <t>Capital Call / Additional Contribution</t>
        </is>
      </c>
      <c r="C26" s="28">
        <f>IF(AND(C16&lt;0,C25&gt;C24),C25-C24,0)</f>
        <v/>
      </c>
      <c r="D26" s="28">
        <f>IF(AND(D16&lt;0,D25&gt;D24),D25-D24,0)</f>
        <v/>
      </c>
      <c r="E26" s="28">
        <f>IF(AND(E16&lt;0,E25&gt;E24),E25-E24,0)</f>
        <v/>
      </c>
      <c r="F26" s="28">
        <f>IF(AND(F16&lt;0,F25&gt;F24),F25-F24,0)</f>
        <v/>
      </c>
      <c r="G26" s="28">
        <f>IF(AND(G16&lt;0,G25&gt;G24),G25-G24,0)</f>
        <v/>
      </c>
      <c r="H26" s="28">
        <f>+SUM(C26:G26)</f>
        <v/>
      </c>
    </row>
    <row r="27" ht="15" customHeight="1" s="103">
      <c r="B27" s="2" t="inlineStr">
        <is>
          <t>Dividends Paid to Participant</t>
        </is>
      </c>
      <c r="C27" s="28" t="n">
        <v>0</v>
      </c>
      <c r="D27" s="28">
        <f>IF(D26&gt;0,0,MAX(0,MIN((Assumptions!$D$42-20%)*MAX(0,D21),D24-D25)))</f>
        <v/>
      </c>
      <c r="E27" s="28">
        <f>IF(E26&gt;0,0,MAX(0,MIN(Assumptions!$D$42*MAX(0,E21),E24-E25)))</f>
        <v/>
      </c>
      <c r="F27" s="28">
        <f>IF(F26&gt;0,0,MAX(0,MIN(Assumptions!$D$42*MAX(0,F21),F24-F25)))</f>
        <v/>
      </c>
      <c r="G27" s="28">
        <f>IF(G26&gt;0,0,MAX(0,MIN(Assumptions!$D$42*MAX(0,G21),G24-G25)))</f>
        <v/>
      </c>
      <c r="H27" s="29">
        <f>SUM(C27:G27)</f>
        <v/>
      </c>
    </row>
    <row r="28" ht="15" customHeight="1" s="103">
      <c r="B28" s="2" t="inlineStr">
        <is>
          <t>Retained Earnings</t>
        </is>
      </c>
      <c r="C28" s="29">
        <f>C21-C27</f>
        <v/>
      </c>
      <c r="D28" s="29">
        <f>D21-D27</f>
        <v/>
      </c>
      <c r="E28" s="29">
        <f>E21-E27</f>
        <v/>
      </c>
      <c r="F28" s="29">
        <f>F21-F27</f>
        <v/>
      </c>
      <c r="G28" s="29">
        <f>G21-G27</f>
        <v/>
      </c>
      <c r="H28" s="29">
        <f>SUM(C28:G28)</f>
        <v/>
      </c>
    </row>
    <row r="29" ht="15" customHeight="1" s="103">
      <c r="B29" s="2" t="n"/>
      <c r="C29" s="32" t="n"/>
      <c r="D29" s="32" t="n"/>
      <c r="E29" s="32" t="n"/>
      <c r="F29" s="32" t="n"/>
      <c r="G29" s="32" t="n"/>
      <c r="H29" s="32" t="n"/>
    </row>
    <row r="30" ht="15" customHeight="1" s="103">
      <c r="B30" s="39" t="inlineStr">
        <is>
          <t>EQUITY ROLL-FORWARD</t>
        </is>
      </c>
      <c r="C30" s="43" t="n"/>
      <c r="D30" s="43" t="n"/>
      <c r="E30" s="43" t="n"/>
      <c r="F30" s="43" t="n"/>
      <c r="G30" s="43" t="n"/>
      <c r="H30" s="43" t="n"/>
    </row>
    <row r="31" ht="15" customHeight="1" s="103">
      <c r="B31" s="2" t="inlineStr">
        <is>
          <t>Beginning Cell Equity</t>
        </is>
      </c>
      <c r="C31" s="28">
        <f t="array" ref="C31">Assumptions!$D$40</f>
        <v/>
      </c>
      <c r="D31" s="29">
        <f t="array" ref="D31">C37</f>
        <v/>
      </c>
      <c r="E31" s="29">
        <f t="array" ref="E31">D37</f>
        <v/>
      </c>
      <c r="F31" s="29">
        <f t="array" ref="F31">E37</f>
        <v/>
      </c>
      <c r="G31" s="29">
        <f t="array" ref="G31">F37</f>
        <v/>
      </c>
      <c r="H31" s="29">
        <f t="array" ref="H31">C31</f>
        <v/>
      </c>
    </row>
    <row r="32" ht="15" customHeight="1" s="103">
      <c r="B32" s="2" t="inlineStr">
        <is>
          <t>(+) Net Retained Premium</t>
        </is>
      </c>
      <c r="C32" s="29">
        <f t="array" ref="C32">C11</f>
        <v/>
      </c>
      <c r="D32" s="29">
        <f t="array" ref="D32">D11</f>
        <v/>
      </c>
      <c r="E32" s="29">
        <f t="array" ref="E32">E11</f>
        <v/>
      </c>
      <c r="F32" s="29">
        <f t="array" ref="F32">F11</f>
        <v/>
      </c>
      <c r="G32" s="29">
        <f t="array" ref="G32">G11</f>
        <v/>
      </c>
      <c r="H32" s="29">
        <f>SUM(C32:G32)</f>
        <v/>
      </c>
    </row>
    <row r="33" ht="15" customHeight="1" s="103">
      <c r="B33" s="2" t="inlineStr">
        <is>
          <t>(–) Claims Paid in Cash</t>
        </is>
      </c>
      <c r="C33" s="29">
        <f t="array" ref="C33">C16</f>
        <v/>
      </c>
      <c r="D33" s="29">
        <f t="array" ref="D33">D16</f>
        <v/>
      </c>
      <c r="E33" s="29">
        <f>E16</f>
        <v/>
      </c>
      <c r="F33" s="29">
        <f t="array" ref="F33">F16</f>
        <v/>
      </c>
      <c r="G33" s="29">
        <f t="array" ref="G33">G16</f>
        <v/>
      </c>
      <c r="H33" s="29">
        <f>SUM(C33:G33)</f>
        <v/>
      </c>
    </row>
    <row r="34" ht="15" customHeight="1" s="103">
      <c r="B34" s="2" t="inlineStr">
        <is>
          <t>(+) Investment Income</t>
        </is>
      </c>
      <c r="C34" s="29">
        <f t="array" ref="C34">C20</f>
        <v/>
      </c>
      <c r="D34" s="29">
        <f t="array" ref="D34">D20</f>
        <v/>
      </c>
      <c r="E34" s="29">
        <f t="array" ref="E34">E20</f>
        <v/>
      </c>
      <c r="F34" s="29">
        <f t="array" ref="F34">F20</f>
        <v/>
      </c>
      <c r="G34" s="29">
        <f t="array" ref="G34">G20</f>
        <v/>
      </c>
      <c r="H34" s="29">
        <f>SUM(C34:G34)</f>
        <v/>
      </c>
    </row>
    <row r="35" ht="15" customHeight="1" s="103">
      <c r="B35" s="2" t="inlineStr">
        <is>
          <t>(+) Capital Call / Additional Contribution</t>
        </is>
      </c>
      <c r="C35" s="29">
        <f t="array" ref="C35">C26</f>
        <v/>
      </c>
      <c r="D35" s="29">
        <f t="array" ref="D35">D26</f>
        <v/>
      </c>
      <c r="E35" s="29">
        <f t="array" ref="E35">E26</f>
        <v/>
      </c>
      <c r="F35" s="29">
        <f t="array" ref="F35">F26</f>
        <v/>
      </c>
      <c r="G35" s="29">
        <f t="array" ref="G35">G26</f>
        <v/>
      </c>
      <c r="H35" s="29">
        <f>SUM(C35:G35)</f>
        <v/>
      </c>
    </row>
    <row r="36" ht="15" customHeight="1" s="103">
      <c r="B36" s="2" t="inlineStr">
        <is>
          <t>(–) Dividends Paid</t>
        </is>
      </c>
      <c r="C36" s="29">
        <f>-C27</f>
        <v/>
      </c>
      <c r="D36" s="29">
        <f>-D27</f>
        <v/>
      </c>
      <c r="E36" s="29">
        <f>-E27</f>
        <v/>
      </c>
      <c r="F36" s="29">
        <f>-F27</f>
        <v/>
      </c>
      <c r="G36" s="29">
        <f>-G27</f>
        <v/>
      </c>
      <c r="H36" s="29">
        <f>SUM(C36:G36)</f>
        <v/>
      </c>
    </row>
    <row r="37" ht="15" customHeight="1" s="103">
      <c r="B37" s="46" t="inlineStr">
        <is>
          <t>Ending Cell Equity</t>
        </is>
      </c>
      <c r="C37" s="47">
        <f>SUM(C31:C36)</f>
        <v/>
      </c>
      <c r="D37" s="47">
        <f>SUM(D31:D36)</f>
        <v/>
      </c>
      <c r="E37" s="47">
        <f>SUM(E31:E36)</f>
        <v/>
      </c>
      <c r="F37" s="47">
        <f>SUM(F31:F36)</f>
        <v/>
      </c>
      <c r="G37" s="47">
        <f>SUM(G31:G36)</f>
        <v/>
      </c>
      <c r="H37" s="47">
        <f t="array" ref="H37">G37</f>
        <v/>
      </c>
    </row>
    <row r="38" ht="15" customHeight="1" s="103">
      <c r="B38" s="2" t="inlineStr">
        <is>
          <t>Available Equity (net of Loss Reserves)</t>
        </is>
      </c>
      <c r="C38" s="29">
        <f>C37-C17</f>
        <v/>
      </c>
      <c r="D38" s="29">
        <f>D37-D17</f>
        <v/>
      </c>
      <c r="E38" s="29">
        <f>E37-E17</f>
        <v/>
      </c>
      <c r="F38" s="29">
        <f>F37-F17</f>
        <v/>
      </c>
      <c r="G38" s="29">
        <f>G37-G17</f>
        <v/>
      </c>
      <c r="H38" s="29">
        <f t="array" ref="H38">G38</f>
        <v/>
      </c>
    </row>
    <row r="39" ht="15" customHeight="1" s="103">
      <c r="B39" s="2" t="n"/>
      <c r="C39" s="32" t="n"/>
      <c r="D39" s="32" t="n"/>
      <c r="E39" s="32" t="n"/>
      <c r="F39" s="32" t="n"/>
      <c r="G39" s="32" t="n"/>
      <c r="H39" s="32" t="n"/>
    </row>
    <row r="40" ht="15" customHeight="1" s="103">
      <c r="B40" s="39" t="inlineStr">
        <is>
          <t>CASH FLOW SUMMARY</t>
        </is>
      </c>
      <c r="C40" s="43" t="n"/>
      <c r="D40" s="43" t="n"/>
      <c r="E40" s="43" t="n"/>
      <c r="F40" s="43" t="n"/>
      <c r="G40" s="43" t="n"/>
      <c r="H40" s="43" t="n"/>
    </row>
    <row r="41" ht="15" customHeight="1" s="103">
      <c r="B41" s="2" t="inlineStr">
        <is>
          <t>Gross Premium Paid (Cash Out)</t>
        </is>
      </c>
      <c r="C41" s="29">
        <f>-C7</f>
        <v/>
      </c>
      <c r="D41" s="29">
        <f>-D7</f>
        <v/>
      </c>
      <c r="E41" s="29">
        <f>-E7</f>
        <v/>
      </c>
      <c r="F41" s="29">
        <f>-F7</f>
        <v/>
      </c>
      <c r="G41" s="29">
        <f>-G7</f>
        <v/>
      </c>
      <c r="H41" s="29">
        <f>SUM(C41:G41)</f>
        <v/>
      </c>
    </row>
    <row r="42" ht="15" customHeight="1" s="103">
      <c r="B42" s="2" t="inlineStr">
        <is>
          <t>Initial Capital Contribution</t>
        </is>
      </c>
      <c r="C42" s="28">
        <f>-Assumptions!$D$40</f>
        <v/>
      </c>
      <c r="D42" s="33" t="n">
        <v>0</v>
      </c>
      <c r="E42" s="33" t="n">
        <v>0</v>
      </c>
      <c r="F42" s="33" t="n">
        <v>0</v>
      </c>
      <c r="G42" s="33" t="n">
        <v>0</v>
      </c>
      <c r="H42" s="29">
        <f>SUM(C42:G42)</f>
        <v/>
      </c>
    </row>
    <row r="43" ht="15" customHeight="1" s="103">
      <c r="B43" s="2" t="inlineStr">
        <is>
          <t>Capital Call Contribution (Cash Out)</t>
        </is>
      </c>
      <c r="C43" s="29">
        <f>-C26</f>
        <v/>
      </c>
      <c r="D43" s="29">
        <f>-D26</f>
        <v/>
      </c>
      <c r="E43" s="29">
        <f>-E26</f>
        <v/>
      </c>
      <c r="F43" s="29">
        <f>-F26</f>
        <v/>
      </c>
      <c r="G43" s="29">
        <f>-G26</f>
        <v/>
      </c>
      <c r="H43" s="29">
        <f>SUM(C43:G43)</f>
        <v/>
      </c>
    </row>
    <row r="44" ht="15" customHeight="1" s="103">
      <c r="B44" s="2" t="inlineStr">
        <is>
          <t>Dividends Received (Cash In)</t>
        </is>
      </c>
      <c r="C44" s="29">
        <f t="array" ref="C44">C27</f>
        <v/>
      </c>
      <c r="D44" s="29">
        <f t="array" ref="D44">D27</f>
        <v/>
      </c>
      <c r="E44" s="29">
        <f t="array" ref="E44">E27</f>
        <v/>
      </c>
      <c r="F44" s="29">
        <f t="array" ref="F44">F27</f>
        <v/>
      </c>
      <c r="G44" s="29">
        <f t="array" ref="G44">G27</f>
        <v/>
      </c>
      <c r="H44" s="29">
        <f>SUM(C44:G44)</f>
        <v/>
      </c>
    </row>
    <row r="45" ht="15" customHeight="1" s="103">
      <c r="B45" s="41" t="inlineStr">
        <is>
          <t>Net Annual Cash Impact</t>
        </is>
      </c>
      <c r="C45" s="42">
        <f>SUM(C41:C44)</f>
        <v/>
      </c>
      <c r="D45" s="42">
        <f>SUM(D41:D44)</f>
        <v/>
      </c>
      <c r="E45" s="42">
        <f>SUM(E41:E44)</f>
        <v/>
      </c>
      <c r="F45" s="42">
        <f>SUM(F41:F44)</f>
        <v/>
      </c>
      <c r="G45" s="42">
        <f>SUM(G41:G44)</f>
        <v/>
      </c>
      <c r="H45" s="42">
        <f>SUM(C45:G45)</f>
        <v/>
      </c>
    </row>
    <row r="46" ht="15" customHeight="1" s="103">
      <c r="B46" s="44" t="inlineStr">
        <is>
          <t>Cumulative Net Cash Impact</t>
        </is>
      </c>
      <c r="C46" s="45">
        <f t="array" ref="C46">C45</f>
        <v/>
      </c>
      <c r="D46" s="45">
        <f>C46+D45</f>
        <v/>
      </c>
      <c r="E46" s="45">
        <f>D46+E45</f>
        <v/>
      </c>
      <c r="F46" s="45">
        <f>E46+F45</f>
        <v/>
      </c>
      <c r="G46" s="45">
        <f>F46+G45</f>
        <v/>
      </c>
      <c r="H46" s="45">
        <f t="array" ref="H46">G46</f>
        <v/>
      </c>
    </row>
    <row r="47" ht="15" customHeight="1" s="103">
      <c r="B47" s="2" t="n"/>
      <c r="C47" s="32" t="n"/>
      <c r="D47" s="32" t="n"/>
      <c r="E47" s="32" t="n"/>
      <c r="F47" s="32" t="n"/>
      <c r="G47" s="32" t="n"/>
      <c r="H47" s="32" t="n"/>
    </row>
    <row r="48" ht="15" customHeight="1" s="103">
      <c r="B48" s="39" t="inlineStr">
        <is>
          <t>TOTAL ECONOMIC POSITION</t>
        </is>
      </c>
      <c r="C48" s="43" t="n"/>
      <c r="D48" s="43" t="n"/>
      <c r="E48" s="43" t="n"/>
      <c r="F48" s="43" t="n"/>
      <c r="G48" s="43" t="n"/>
      <c r="H48" s="43" t="n"/>
    </row>
    <row r="49" ht="15" customHeight="1" s="103">
      <c r="B49" s="2" t="inlineStr">
        <is>
          <t>Cumulative Net Cash Impact</t>
        </is>
      </c>
      <c r="C49" s="29">
        <f t="array" ref="C49">C46</f>
        <v/>
      </c>
      <c r="D49" s="29">
        <f t="array" ref="D49">D46</f>
        <v/>
      </c>
      <c r="E49" s="29">
        <f t="array" ref="E49">E46</f>
        <v/>
      </c>
      <c r="F49" s="29">
        <f t="array" ref="F49">F46</f>
        <v/>
      </c>
      <c r="G49" s="29">
        <f t="array" ref="G49">G46</f>
        <v/>
      </c>
      <c r="H49" s="29">
        <f t="array" ref="H49">G49</f>
        <v/>
      </c>
    </row>
    <row r="50" ht="15" customHeight="1" s="103">
      <c r="B50" s="2" t="inlineStr">
        <is>
          <t>Equity Asset Value (Available Equity)</t>
        </is>
      </c>
      <c r="C50" s="29">
        <f t="array" ref="C50">C38</f>
        <v/>
      </c>
      <c r="D50" s="29">
        <f t="array" ref="D50">D38</f>
        <v/>
      </c>
      <c r="E50" s="29">
        <f t="array" ref="E50">E38</f>
        <v/>
      </c>
      <c r="F50" s="29">
        <f t="array" ref="F50">F38</f>
        <v/>
      </c>
      <c r="G50" s="29">
        <f t="array" ref="G50">G38</f>
        <v/>
      </c>
      <c r="H50" s="29">
        <f t="array" ref="H50">G50</f>
        <v/>
      </c>
    </row>
    <row r="51" ht="15" customHeight="1" s="103">
      <c r="B51" s="46" t="inlineStr">
        <is>
          <t>Total Economic Position</t>
        </is>
      </c>
      <c r="C51" s="47">
        <f>C49+C50</f>
        <v/>
      </c>
      <c r="D51" s="47">
        <f>D49+D50</f>
        <v/>
      </c>
      <c r="E51" s="47">
        <f>E49+E50</f>
        <v/>
      </c>
      <c r="F51" s="47">
        <f>F49+F50</f>
        <v/>
      </c>
      <c r="G51" s="47">
        <f>G49+G50</f>
        <v/>
      </c>
      <c r="H51" s="47">
        <f t="array" ref="H51">G51</f>
        <v/>
      </c>
    </row>
    <row r="52" ht="15" customHeight="1" s="103">
      <c r="B52" s="2" t="n"/>
      <c r="C52" s="32" t="n"/>
      <c r="D52" s="32" t="n"/>
      <c r="E52" s="32" t="n"/>
      <c r="F52" s="32" t="n"/>
      <c r="G52" s="32" t="n"/>
      <c r="H52" s="32" t="n"/>
    </row>
    <row r="53" ht="15" customHeight="1" s="103">
      <c r="B53" s="2" t="inlineStr">
        <is>
          <t>Potential Redemption Value (if exit at Year 5)</t>
        </is>
      </c>
      <c r="C53" s="33" t="n"/>
      <c r="D53" s="33" t="n"/>
      <c r="E53" s="33" t="n"/>
      <c r="F53" s="33" t="n"/>
      <c r="G53" s="28">
        <f t="array" ref="G53">IF(Assumptions!$D$48="Yes",G38,0)</f>
        <v/>
      </c>
      <c r="H53" s="33" t="n"/>
    </row>
  </sheetData>
  <pageMargins left="0.7" right="0.7" top="0.75" bottom="0.75" header="0.3" footer="0.3"/>
  <pageSetup orientation="portrait"/>
  <headerFooter>
    <oddHeader>&amp;L&amp;C&amp;R</oddHeader>
    <oddFooter>&amp;L&amp;C&amp;R</oddFooter>
    <evenHeader/>
    <evenFooter/>
    <firstHeader/>
    <firstFooter/>
  </headerFooter>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B2:I40"/>
  <sheetViews>
    <sheetView showGridLines="0" workbookViewId="0">
      <selection activeCell="G31" sqref="G31"/>
    </sheetView>
  </sheetViews>
  <sheetFormatPr baseColWidth="10" defaultColWidth="7.83203125" defaultRowHeight="15" customHeight="1"/>
  <cols>
    <col width="1.5" customWidth="1" style="103" min="1" max="1"/>
    <col width="32.5" customWidth="1" style="103" min="2" max="2"/>
    <col width="15" customWidth="1" style="103" min="3" max="5"/>
    <col width="13.83203125" customWidth="1" style="103" min="6" max="7"/>
  </cols>
  <sheetData>
    <row r="2" ht="15" customHeight="1" s="103">
      <c r="B2" s="37" t="inlineStr">
        <is>
          <t>Comparison Summary — Traditional vs. PCC Group Captive</t>
        </is>
      </c>
    </row>
    <row r="4" ht="15" customHeight="1" s="103">
      <c r="B4" s="48" t="inlineStr">
        <is>
          <t>ANNUAL COMPARISON</t>
        </is>
      </c>
      <c r="C4" s="49" t="n"/>
      <c r="D4" s="49" t="n"/>
      <c r="E4" s="49" t="n"/>
      <c r="F4" s="49" t="n"/>
      <c r="G4" s="49" t="n"/>
      <c r="H4" s="49" t="n"/>
      <c r="I4" s="49" t="n"/>
    </row>
    <row r="5" ht="15" customHeight="1" s="103">
      <c r="B5" s="2" t="n"/>
      <c r="C5" s="26" t="inlineStr">
        <is>
          <t>Year 1</t>
        </is>
      </c>
      <c r="D5" s="26" t="inlineStr">
        <is>
          <t>Year 2</t>
        </is>
      </c>
      <c r="E5" s="26" t="inlineStr">
        <is>
          <t>Year 3</t>
        </is>
      </c>
      <c r="F5" s="26" t="inlineStr">
        <is>
          <t>Year 4</t>
        </is>
      </c>
      <c r="G5" s="26" t="inlineStr">
        <is>
          <t>Year 5</t>
        </is>
      </c>
    </row>
    <row r="6" ht="15" customHeight="1" s="103">
      <c r="B6" s="2" t="n"/>
      <c r="C6" s="2" t="n"/>
      <c r="D6" s="2" t="n"/>
      <c r="E6" s="2" t="n"/>
      <c r="F6" s="2" t="n"/>
      <c r="G6" s="2" t="n"/>
    </row>
    <row r="7" ht="15" customHeight="1" s="103">
      <c r="B7" s="44" t="inlineStr">
        <is>
          <t>Traditional Insurance</t>
        </is>
      </c>
      <c r="C7" s="44" t="n"/>
      <c r="D7" s="44" t="n"/>
      <c r="E7" s="44" t="n"/>
      <c r="F7" s="44" t="n"/>
      <c r="G7" s="44" t="n"/>
    </row>
    <row r="8" ht="15" customHeight="1" s="103">
      <c r="B8" s="2" t="inlineStr">
        <is>
          <t xml:space="preserve">  Gross Premium Paid</t>
        </is>
      </c>
      <c r="C8" s="28">
        <f t="array" ref="C8">Traditional!C8</f>
        <v/>
      </c>
      <c r="D8" s="28">
        <f t="array" ref="D8">Traditional!D8</f>
        <v/>
      </c>
      <c r="E8" s="28">
        <f t="array" ref="E8">Traditional!E8</f>
        <v/>
      </c>
      <c r="F8" s="28">
        <f t="array" ref="F8">Traditional!F8</f>
        <v/>
      </c>
      <c r="G8" s="28">
        <f t="array" ref="G8">Traditional!G8</f>
        <v/>
      </c>
    </row>
    <row r="9" ht="15" customHeight="1" s="103">
      <c r="B9" s="2" t="inlineStr">
        <is>
          <t xml:space="preserve">  Net Annual Cash Impact</t>
        </is>
      </c>
      <c r="C9" s="28">
        <f t="array" ref="C9">Traditional!C12</f>
        <v/>
      </c>
      <c r="D9" s="28">
        <f t="array" ref="D9">Traditional!D12</f>
        <v/>
      </c>
      <c r="E9" s="28">
        <f t="array" ref="E9">Traditional!E12</f>
        <v/>
      </c>
      <c r="F9" s="28">
        <f t="array" ref="F9">Traditional!F12</f>
        <v/>
      </c>
      <c r="G9" s="28">
        <f t="array" ref="G9">Traditional!G12</f>
        <v/>
      </c>
    </row>
    <row r="10" ht="15" customHeight="1" s="103">
      <c r="B10" s="2" t="inlineStr">
        <is>
          <t xml:space="preserve">  Cumulative Net Cash</t>
        </is>
      </c>
      <c r="C10" s="28">
        <f t="array" ref="C10">Traditional!C13</f>
        <v/>
      </c>
      <c r="D10" s="28">
        <f t="array" ref="D10">Traditional!D13</f>
        <v/>
      </c>
      <c r="E10" s="28">
        <f t="array" ref="E10">Traditional!E13</f>
        <v/>
      </c>
      <c r="F10" s="28">
        <f t="array" ref="F10">Traditional!F13</f>
        <v/>
      </c>
      <c r="G10" s="28">
        <f t="array" ref="G10">Traditional!G13</f>
        <v/>
      </c>
    </row>
    <row r="11" ht="15" customHeight="1" s="103">
      <c r="B11" s="39" t="inlineStr">
        <is>
          <t xml:space="preserve">  Total Economic Position</t>
        </is>
      </c>
      <c r="C11" s="50">
        <f t="array" ref="C11">Traditional!C16</f>
        <v/>
      </c>
      <c r="D11" s="50">
        <f t="array" ref="D11">Traditional!D16</f>
        <v/>
      </c>
      <c r="E11" s="50">
        <f t="array" ref="E11">Traditional!E16</f>
        <v/>
      </c>
      <c r="F11" s="50">
        <f t="array" ref="F11">Traditional!F16</f>
        <v/>
      </c>
      <c r="G11" s="50">
        <f t="array" ref="G11">Traditional!G16</f>
        <v/>
      </c>
    </row>
    <row r="12" ht="15" customHeight="1" s="103">
      <c r="B12" s="2" t="n"/>
      <c r="C12" s="33" t="n"/>
      <c r="D12" s="33" t="n"/>
      <c r="E12" s="33" t="n"/>
      <c r="F12" s="33" t="n"/>
      <c r="G12" s="33" t="n"/>
    </row>
    <row r="13" ht="15" customHeight="1" s="103">
      <c r="B13" s="44" t="inlineStr">
        <is>
          <t>PCC Group Captive</t>
        </is>
      </c>
      <c r="C13" s="51" t="n"/>
      <c r="D13" s="51" t="n"/>
      <c r="E13" s="51" t="n"/>
      <c r="F13" s="51" t="n"/>
      <c r="G13" s="51" t="n"/>
    </row>
    <row r="14" ht="15" customHeight="1" s="103">
      <c r="B14" s="2" t="inlineStr">
        <is>
          <t xml:space="preserve">  Gross Premium Paid</t>
        </is>
      </c>
      <c r="C14" s="28">
        <f t="array" ref="C14">Captive!C7</f>
        <v/>
      </c>
      <c r="D14" s="28">
        <f t="array" ref="D14">Captive!D7</f>
        <v/>
      </c>
      <c r="E14" s="28">
        <f t="array" ref="E14">Captive!E7</f>
        <v/>
      </c>
      <c r="F14" s="28">
        <f t="array" ref="F14">Captive!F7</f>
        <v/>
      </c>
      <c r="G14" s="28">
        <f t="array" ref="G14">Captive!G7</f>
        <v/>
      </c>
    </row>
    <row r="15" ht="15" customHeight="1" s="103">
      <c r="B15" s="2" t="inlineStr">
        <is>
          <t xml:space="preserve">  Dividends Received</t>
        </is>
      </c>
      <c r="C15" s="28">
        <f t="array" ref="C15">Captive!C27</f>
        <v/>
      </c>
      <c r="D15" s="28">
        <f t="array" ref="D15">Captive!D27</f>
        <v/>
      </c>
      <c r="E15" s="28">
        <f t="array" ref="E15">Captive!E27</f>
        <v/>
      </c>
      <c r="F15" s="28">
        <f t="array" ref="F15">Captive!F27</f>
        <v/>
      </c>
      <c r="G15" s="28">
        <f t="array" ref="G15">Captive!G27</f>
        <v/>
      </c>
    </row>
    <row r="16" ht="15" customHeight="1" s="103">
      <c r="B16" s="2" t="inlineStr">
        <is>
          <t xml:space="preserve">  Capital Calls Paid</t>
        </is>
      </c>
      <c r="C16" s="28">
        <f t="array" ref="C16">Captive!C26</f>
        <v/>
      </c>
      <c r="D16" s="28">
        <f t="array" ref="D16">Captive!D26</f>
        <v/>
      </c>
      <c r="E16" s="28">
        <f t="array" ref="E16">Captive!E26</f>
        <v/>
      </c>
      <c r="F16" s="28">
        <f t="array" ref="F16">Captive!F26</f>
        <v/>
      </c>
      <c r="G16" s="28">
        <f t="array" ref="G16">Captive!G26</f>
        <v/>
      </c>
    </row>
    <row r="17" ht="15" customHeight="1" s="103">
      <c r="B17" s="2" t="inlineStr">
        <is>
          <t xml:space="preserve">  Net Annual Cash Impact</t>
        </is>
      </c>
      <c r="C17" s="28">
        <f t="array" ref="C17">Captive!C45</f>
        <v/>
      </c>
      <c r="D17" s="28">
        <f t="array" ref="D17">Captive!D45</f>
        <v/>
      </c>
      <c r="E17" s="28">
        <f t="array" ref="E17">Captive!E45</f>
        <v/>
      </c>
      <c r="F17" s="28">
        <f t="array" ref="F17">Captive!F45</f>
        <v/>
      </c>
      <c r="G17" s="28">
        <f t="array" ref="G17">Captive!G45</f>
        <v/>
      </c>
    </row>
    <row r="18" ht="15" customHeight="1" s="103">
      <c r="B18" s="2" t="inlineStr">
        <is>
          <t xml:space="preserve">  Cumulative Net Cash</t>
        </is>
      </c>
      <c r="C18" s="28">
        <f t="array" ref="C18">Captive!C46</f>
        <v/>
      </c>
      <c r="D18" s="28">
        <f t="array" ref="D18">Captive!D46</f>
        <v/>
      </c>
      <c r="E18" s="28">
        <f t="array" ref="E18">Captive!E46</f>
        <v/>
      </c>
      <c r="F18" s="28">
        <f t="array" ref="F18">Captive!F46</f>
        <v/>
      </c>
      <c r="G18" s="28">
        <f t="array" ref="G18">Captive!G46</f>
        <v/>
      </c>
    </row>
    <row r="19" ht="15" customHeight="1" s="103">
      <c r="B19" s="2" t="inlineStr">
        <is>
          <t xml:space="preserve">  Ending Cell Equity</t>
        </is>
      </c>
      <c r="C19" s="28">
        <f t="array" ref="C19">Captive!C37</f>
        <v/>
      </c>
      <c r="D19" s="28">
        <f t="array" ref="D19">Captive!D37</f>
        <v/>
      </c>
      <c r="E19" s="28">
        <f t="array" ref="E19">Captive!E37</f>
        <v/>
      </c>
      <c r="F19" s="28">
        <f t="array" ref="F19">Captive!F37</f>
        <v/>
      </c>
      <c r="G19" s="28">
        <f t="array" ref="G19">Captive!G37</f>
        <v/>
      </c>
    </row>
    <row r="20" ht="15" customHeight="1" s="103">
      <c r="B20" s="39" t="inlineStr">
        <is>
          <t xml:space="preserve">  Total Economic Position</t>
        </is>
      </c>
      <c r="C20" s="50">
        <f t="array" ref="C20">Captive!C51</f>
        <v/>
      </c>
      <c r="D20" s="50">
        <f t="array" ref="D20">Captive!D51</f>
        <v/>
      </c>
      <c r="E20" s="50">
        <f t="array" ref="E20">Captive!E51</f>
        <v/>
      </c>
      <c r="F20" s="50">
        <f t="array" ref="F20">Captive!F51</f>
        <v/>
      </c>
      <c r="G20" s="50">
        <f t="array" ref="G20">Captive!G51</f>
        <v/>
      </c>
    </row>
    <row r="21" ht="15" customHeight="1" s="103">
      <c r="B21" s="2" t="n"/>
      <c r="C21" s="33" t="n"/>
      <c r="D21" s="33" t="n"/>
      <c r="E21" s="33" t="n"/>
      <c r="F21" s="33" t="n"/>
      <c r="G21" s="33" t="n"/>
    </row>
    <row r="22" ht="15" customHeight="1" s="103">
      <c r="B22" s="44" t="inlineStr">
        <is>
          <t>Captive Advantage / (Disadvantage)</t>
        </is>
      </c>
      <c r="C22" s="51" t="n"/>
      <c r="D22" s="51" t="n"/>
      <c r="E22" s="51" t="n"/>
      <c r="F22" s="51" t="n"/>
      <c r="G22" s="51" t="n"/>
    </row>
    <row r="23" ht="15" customHeight="1" s="103">
      <c r="B23" s="2" t="inlineStr">
        <is>
          <t xml:space="preserve">  Annual Cash Savings</t>
        </is>
      </c>
      <c r="C23" s="29">
        <f>C17-C9</f>
        <v/>
      </c>
      <c r="D23" s="29">
        <f>D17-D9</f>
        <v/>
      </c>
      <c r="E23" s="29">
        <f>E17-E9</f>
        <v/>
      </c>
      <c r="F23" s="29">
        <f>F17-F9</f>
        <v/>
      </c>
      <c r="G23" s="29">
        <f>G17-G9</f>
        <v/>
      </c>
    </row>
    <row r="24" ht="15" customHeight="1" s="103">
      <c r="B24" s="2" t="inlineStr">
        <is>
          <t xml:space="preserve">  Equity Created</t>
        </is>
      </c>
      <c r="C24" s="29">
        <f t="array" ref="C24">C19</f>
        <v/>
      </c>
      <c r="D24" s="29">
        <f t="array" ref="D24">D19</f>
        <v/>
      </c>
      <c r="E24" s="29">
        <f t="array" ref="E24">E19</f>
        <v/>
      </c>
      <c r="F24" s="29">
        <f t="array" ref="F24">F19</f>
        <v/>
      </c>
      <c r="G24" s="29">
        <f t="array" ref="G24">G19</f>
        <v/>
      </c>
    </row>
    <row r="25" ht="15" customHeight="1" s="103">
      <c r="B25" s="46" t="inlineStr">
        <is>
          <t xml:space="preserve">  Total Economic Advantage</t>
        </is>
      </c>
      <c r="C25" s="47">
        <f>C20-C11</f>
        <v/>
      </c>
      <c r="D25" s="47">
        <f>D20-D11</f>
        <v/>
      </c>
      <c r="E25" s="47">
        <f>E20-E11</f>
        <v/>
      </c>
      <c r="F25" s="47">
        <f>F20-F11</f>
        <v/>
      </c>
      <c r="G25" s="47">
        <f>G20-G11</f>
        <v/>
      </c>
    </row>
    <row r="28" ht="15" customHeight="1" s="103">
      <c r="B28" s="48" t="inlineStr">
        <is>
          <t>KEY METRICS — 5-YEAR TOTALS</t>
        </is>
      </c>
      <c r="C28" s="49" t="n"/>
      <c r="D28" s="49" t="n"/>
      <c r="E28" s="49" t="n"/>
    </row>
    <row r="29" ht="15" customHeight="1" s="103">
      <c r="C29" s="38" t="inlineStr">
        <is>
          <t>Traditional</t>
        </is>
      </c>
      <c r="D29" s="38" t="inlineStr">
        <is>
          <t>Captive</t>
        </is>
      </c>
      <c r="E29" s="38" t="inlineStr">
        <is>
          <t>Delta</t>
        </is>
      </c>
    </row>
    <row r="31" ht="15" customHeight="1" s="103">
      <c r="B31" s="0" t="inlineStr">
        <is>
          <t>Total Premium Paid</t>
        </is>
      </c>
      <c r="C31" s="52">
        <f t="array" ref="C31">Traditional!H8</f>
        <v/>
      </c>
      <c r="D31" s="52">
        <f t="array" ref="D31">Captive!H7</f>
        <v/>
      </c>
      <c r="E31" s="53">
        <f>D31-C31</f>
        <v/>
      </c>
    </row>
    <row r="32" ht="15" customHeight="1" s="103">
      <c r="B32" s="0" t="inlineStr">
        <is>
          <t>Total Capital Contributed</t>
        </is>
      </c>
      <c r="C32" s="54" t="n">
        <v>0</v>
      </c>
      <c r="D32" s="52">
        <f>Assumptions!D40+Captive!H26</f>
        <v/>
      </c>
      <c r="E32" s="53">
        <f>D32-C32</f>
        <v/>
      </c>
    </row>
    <row r="33" ht="15" customHeight="1" s="103">
      <c r="B33" s="0" t="inlineStr">
        <is>
          <t>Total Dividends Received</t>
        </is>
      </c>
      <c r="C33" s="54" t="n">
        <v>0</v>
      </c>
      <c r="D33" s="52">
        <f t="array" ref="D33">Captive!H27</f>
        <v/>
      </c>
      <c r="E33" s="53">
        <f>D33-C33</f>
        <v/>
      </c>
    </row>
    <row r="34" ht="15" customHeight="1" s="103">
      <c r="B34" s="0" t="inlineStr">
        <is>
          <t>Ending Captive Equity</t>
        </is>
      </c>
      <c r="C34" s="54" t="n">
        <v>0</v>
      </c>
      <c r="D34" s="52">
        <f t="array" ref="D34">Captive!G37</f>
        <v/>
      </c>
      <c r="E34" s="53">
        <f>D34-C34</f>
        <v/>
      </c>
    </row>
    <row r="35" ht="15" customHeight="1" s="103">
      <c r="C35" s="55" t="n"/>
      <c r="D35" s="55" t="n"/>
      <c r="E35" s="55" t="n"/>
    </row>
    <row r="36" ht="15" customHeight="1" s="103">
      <c r="B36" s="41" t="inlineStr">
        <is>
          <t>Net 5-Year Cash Outlay</t>
        </is>
      </c>
      <c r="C36" s="56">
        <f t="array" ref="C36">Traditional!H12</f>
        <v/>
      </c>
      <c r="D36" s="56">
        <f t="array" ref="D36">Captive!H45</f>
        <v/>
      </c>
      <c r="E36" s="42">
        <f>D36-C36</f>
        <v/>
      </c>
    </row>
    <row r="37" ht="15" customHeight="1" s="103">
      <c r="B37" s="44" t="inlineStr">
        <is>
          <t>Total Economic Value at Year 5</t>
        </is>
      </c>
      <c r="C37" s="57">
        <f t="array" ref="C37">Traditional!G16</f>
        <v/>
      </c>
      <c r="D37" s="57">
        <f>Captive!G51</f>
        <v/>
      </c>
      <c r="E37" s="45">
        <f>D37-C37</f>
        <v/>
      </c>
    </row>
    <row r="38" ht="15" customHeight="1" s="103">
      <c r="C38" s="55" t="n"/>
      <c r="D38" s="55" t="n"/>
      <c r="E38" s="55" t="n"/>
    </row>
    <row r="39" ht="15" customHeight="1" s="103">
      <c r="B39" s="0" t="inlineStr">
        <is>
          <t>Effective Annual Insurance Cost</t>
        </is>
      </c>
      <c r="C39" s="53">
        <f>C36/5</f>
        <v/>
      </c>
      <c r="D39" s="53">
        <f>D36/5</f>
        <v/>
      </c>
      <c r="E39" s="53">
        <f>D39-C39</f>
        <v/>
      </c>
    </row>
    <row r="40" ht="15" customHeight="1" s="103">
      <c r="B40" s="46" t="inlineStr">
        <is>
          <t>% Reduction in Net Cost (Captive vs Traditional)</t>
        </is>
      </c>
      <c r="C40" s="58" t="n"/>
      <c r="D40" s="58" t="n"/>
      <c r="E40" s="59">
        <f>IF(C36=0,0,(ABS(C36)-ABS(D36))/ABS(C36))</f>
        <v/>
      </c>
    </row>
  </sheetData>
  <pageMargins left="0.7" right="0.7" top="0.75" bottom="0.75" header="0.3" footer="0.3"/>
  <pageSetup orientation="portrait"/>
  <headerFooter>
    <oddHeader>&amp;L&amp;C&amp;R</oddHeader>
    <oddFooter>&amp;L&amp;C&amp;R</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B2:S35"/>
  <sheetViews>
    <sheetView showGridLines="0" topLeftCell="A5" workbookViewId="0">
      <selection activeCell="I9" sqref="I9"/>
    </sheetView>
  </sheetViews>
  <sheetFormatPr baseColWidth="10" defaultColWidth="7.6640625" defaultRowHeight="15" customHeight="1"/>
  <cols>
    <col width="2.1640625" customWidth="1" style="103" min="1" max="1"/>
    <col width="31.1640625" customWidth="1" style="103" min="2" max="2"/>
    <col width="10.1640625" customWidth="1" style="103" min="3" max="3"/>
    <col width="14" customWidth="1" style="103" min="4" max="6"/>
    <col width="10.1640625" customWidth="1" style="103" min="7" max="7"/>
    <col width="3" customWidth="1" style="103" min="8" max="8"/>
    <col width="10.1640625" customWidth="1" style="103" min="9" max="13"/>
    <col width="3" customWidth="1" style="103" min="14" max="14"/>
    <col width="10.1640625" customWidth="1" style="103" min="15" max="19"/>
  </cols>
  <sheetData>
    <row r="2" ht="15" customHeight="1" s="103">
      <c r="B2" s="60" t="inlineStr">
        <is>
          <t>Scenario Analysis — Base Case vs. Adverse Loss Experience</t>
        </is>
      </c>
    </row>
    <row r="3" ht="15" customHeight="1" s="103">
      <c r="B3" s="61" t="inlineStr">
        <is>
          <t>Loss ratio inputs for each scenario are set on the Assumptions tab (Base: rows 28–32; Moderate Adverse &amp; Severe: rows 63–67). All other assumptions are shared.</t>
        </is>
      </c>
    </row>
    <row r="5" ht="15" customHeight="1" s="103">
      <c r="B5" s="62" t="inlineStr">
        <is>
          <t>SCENARIO SUMMARY (5-YEAR)</t>
        </is>
      </c>
      <c r="C5" s="63" t="n"/>
      <c r="D5" s="63" t="n"/>
      <c r="E5" s="63" t="n"/>
      <c r="F5" s="63" t="n"/>
    </row>
    <row r="6" ht="15" customHeight="1" s="103">
      <c r="D6" s="64" t="inlineStr">
        <is>
          <t>Base Case</t>
        </is>
      </c>
      <c r="E6" s="64" t="inlineStr">
        <is>
          <t>Moderate Adverse</t>
        </is>
      </c>
      <c r="F6" s="64" t="inlineStr">
        <is>
          <t>Severe</t>
        </is>
      </c>
    </row>
    <row r="7" ht="15" customHeight="1" s="103">
      <c r="B7" s="65" t="inlineStr">
        <is>
          <t>Cumulative Net Retained Loss Ratio</t>
        </is>
      </c>
      <c r="D7" s="66">
        <f>-SUM(C21:G21)/SUM(C20:G20)</f>
        <v/>
      </c>
      <c r="E7" s="66">
        <f>-SUM(I21:M21)/SUM(I20:M20)</f>
        <v/>
      </c>
      <c r="F7" s="66">
        <f>-SUM(O21:S21)/SUM(O20:S20)</f>
        <v/>
      </c>
    </row>
    <row r="8" ht="15" customHeight="1" s="103">
      <c r="B8" s="65" t="inlineStr">
        <is>
          <t>5-Year Net Cash Outlay</t>
        </is>
      </c>
      <c r="D8" s="67">
        <f t="array" ref="D8">G34</f>
        <v/>
      </c>
      <c r="E8" s="67">
        <f t="array" ref="E8">M34</f>
        <v/>
      </c>
      <c r="F8" s="67">
        <f t="array" ref="F8">S34</f>
        <v/>
      </c>
    </row>
    <row r="9" ht="15" customHeight="1" s="103">
      <c r="B9" s="65" t="inlineStr">
        <is>
          <t>Ending Available Equity (Year 5)</t>
        </is>
      </c>
      <c r="D9" s="67">
        <f t="array" ref="D9">G32</f>
        <v/>
      </c>
      <c r="E9" s="67">
        <f t="array" ref="E9">M32</f>
        <v/>
      </c>
      <c r="F9" s="67">
        <f t="array" ref="F9">S32</f>
        <v/>
      </c>
    </row>
    <row r="10" ht="15" customHeight="1" s="103">
      <c r="B10" s="65" t="inlineStr">
        <is>
          <t>Total Capital Calls ($)</t>
        </is>
      </c>
      <c r="D10" s="67">
        <f>SUM(C28:G28)</f>
        <v/>
      </c>
      <c r="E10" s="67">
        <f>SUM(I28:M28)</f>
        <v/>
      </c>
      <c r="F10" s="67">
        <f>SUM(O28:S28)</f>
        <v/>
      </c>
    </row>
    <row r="11" ht="15" customHeight="1" s="103">
      <c r="B11" s="65" t="inlineStr">
        <is>
          <t>Capital Calls Triggered (Y/N)</t>
        </is>
      </c>
      <c r="D11" s="68">
        <f>IF(D10&gt;0,"YES","No")</f>
        <v/>
      </c>
      <c r="E11" s="68">
        <f>IF(E10&gt;0,"YES","No")</f>
        <v/>
      </c>
      <c r="F11" s="68">
        <f>IF(F10&gt;0,"YES","No")</f>
        <v/>
      </c>
    </row>
    <row r="12" ht="15" customHeight="1" s="103">
      <c r="B12" s="65" t="inlineStr">
        <is>
          <t>Total Economic Position (Year 5)</t>
        </is>
      </c>
      <c r="D12" s="67">
        <f t="array" ref="D12">G35</f>
        <v/>
      </c>
      <c r="E12" s="67">
        <f t="array" ref="E12">M35</f>
        <v/>
      </c>
      <c r="F12" s="67">
        <f t="array" ref="F12">S35</f>
        <v/>
      </c>
    </row>
    <row r="13" ht="15" customHeight="1" s="103">
      <c r="B13" s="65" t="inlineStr">
        <is>
          <t>Total Economic Advantage vs Traditional</t>
        </is>
      </c>
      <c r="D13" s="69">
        <f>D12-Traditional!$G$16</f>
        <v/>
      </c>
      <c r="E13" s="69">
        <f>E12-Traditional!$G$16</f>
        <v/>
      </c>
      <c r="F13" s="69">
        <f>F12-Traditional!$G$16</f>
        <v/>
      </c>
    </row>
    <row r="14" ht="15" customHeight="1" s="103">
      <c r="B14" s="65" t="inlineStr">
        <is>
          <t>% Cost Reduction vs Traditional (net cash)</t>
        </is>
      </c>
      <c r="D14" s="70">
        <f>(ABS(Traditional!$H$12)-ABS(D8))/ABS(Traditional!$H$12)</f>
        <v/>
      </c>
      <c r="E14" s="70">
        <f>(ABS(Traditional!$H$12)-ABS(E8))/ABS(Traditional!$H$12)</f>
        <v/>
      </c>
      <c r="F14" s="70">
        <f>(ABS(Traditional!$H$12)-ABS(F8))/ABS(Traditional!$H$12)</f>
        <v/>
      </c>
    </row>
    <row r="17" ht="15" customHeight="1" s="103">
      <c r="B17" s="62" t="inlineStr">
        <is>
          <t>SCENARIO DETAIL</t>
        </is>
      </c>
      <c r="C17" s="71" t="inlineStr">
        <is>
          <t>BASE CASE</t>
        </is>
      </c>
      <c r="D17" s="63" t="n"/>
      <c r="E17" s="63" t="n"/>
      <c r="F17" s="63" t="n"/>
      <c r="G17" s="63" t="n"/>
      <c r="H17" s="63" t="n"/>
      <c r="I17" s="71" t="inlineStr">
        <is>
          <t>MODERATE ADVERSE</t>
        </is>
      </c>
      <c r="J17" s="63" t="n"/>
      <c r="K17" s="63" t="n"/>
      <c r="L17" s="63" t="n"/>
      <c r="M17" s="63" t="n"/>
      <c r="N17" s="63" t="n"/>
      <c r="O17" s="71" t="inlineStr">
        <is>
          <t>SEVERE</t>
        </is>
      </c>
      <c r="P17" s="63" t="n"/>
      <c r="Q17" s="63" t="n"/>
      <c r="R17" s="63" t="n"/>
      <c r="S17" s="63" t="n"/>
    </row>
    <row r="18" ht="15" customHeight="1" s="103">
      <c r="C18" s="64" t="inlineStr">
        <is>
          <t>Year 1</t>
        </is>
      </c>
      <c r="D18" s="64" t="inlineStr">
        <is>
          <t>Year 2</t>
        </is>
      </c>
      <c r="E18" s="64" t="inlineStr">
        <is>
          <t>Year 3</t>
        </is>
      </c>
      <c r="F18" s="64" t="inlineStr">
        <is>
          <t>Year 4</t>
        </is>
      </c>
      <c r="G18" s="64" t="inlineStr">
        <is>
          <t>Year 5</t>
        </is>
      </c>
      <c r="I18" s="64" t="inlineStr">
        <is>
          <t>Year 1</t>
        </is>
      </c>
      <c r="J18" s="64" t="inlineStr">
        <is>
          <t>Year 2</t>
        </is>
      </c>
      <c r="K18" s="64" t="inlineStr">
        <is>
          <t>Year 3</t>
        </is>
      </c>
      <c r="L18" s="64" t="inlineStr">
        <is>
          <t>Year 4</t>
        </is>
      </c>
      <c r="M18" s="64" t="inlineStr">
        <is>
          <t>Year 5</t>
        </is>
      </c>
      <c r="O18" s="64" t="inlineStr">
        <is>
          <t>Year 1</t>
        </is>
      </c>
      <c r="P18" s="64" t="inlineStr">
        <is>
          <t>Year 2</t>
        </is>
      </c>
      <c r="Q18" s="64" t="inlineStr">
        <is>
          <t>Year 3</t>
        </is>
      </c>
      <c r="R18" s="64" t="inlineStr">
        <is>
          <t>Year 4</t>
        </is>
      </c>
      <c r="S18" s="64" t="inlineStr">
        <is>
          <t>Year 5</t>
        </is>
      </c>
    </row>
    <row r="19" ht="15" customHeight="1" s="103">
      <c r="B19" s="65" t="inlineStr">
        <is>
          <t>Loss Ratio (% of Net Retained Premium)</t>
        </is>
      </c>
      <c r="C19" s="72">
        <f t="array" ref="C19">Assumptions!D$31</f>
        <v/>
      </c>
      <c r="D19" s="72">
        <f t="array" ref="D19">Assumptions!D$32</f>
        <v/>
      </c>
      <c r="E19" s="72">
        <f t="array" ref="E19">Assumptions!D$33</f>
        <v/>
      </c>
      <c r="F19" s="72">
        <f t="array" ref="F19">Assumptions!D$34</f>
        <v/>
      </c>
      <c r="G19" s="72">
        <f t="array" ref="G19">Assumptions!D$35</f>
        <v/>
      </c>
      <c r="I19" s="72">
        <f t="array" ref="I19">Assumptions!D$66</f>
        <v/>
      </c>
      <c r="J19" s="72">
        <f t="array" ref="J19">Assumptions!D$67</f>
        <v/>
      </c>
      <c r="K19" s="72">
        <f t="array" ref="K19">Assumptions!D$68</f>
        <v/>
      </c>
      <c r="L19" s="72">
        <f t="array" ref="L19">Assumptions!D$69</f>
        <v/>
      </c>
      <c r="M19" s="72">
        <f t="array" ref="M19">Assumptions!D$70</f>
        <v/>
      </c>
      <c r="O19" s="72">
        <f t="array" ref="O19">Assumptions!E$66</f>
        <v/>
      </c>
      <c r="P19" s="72">
        <f t="array" ref="P19">Assumptions!E$67</f>
        <v/>
      </c>
      <c r="Q19" s="72">
        <f t="array" ref="Q19">Assumptions!E$68</f>
        <v/>
      </c>
      <c r="R19" s="72">
        <f t="array" ref="R19">Assumptions!E$69</f>
        <v/>
      </c>
      <c r="S19" s="72">
        <f t="array" ref="S19">Assumptions!E$70</f>
        <v/>
      </c>
    </row>
    <row r="20" ht="15" customHeight="1" s="103">
      <c r="B20" s="65" t="inlineStr">
        <is>
          <t>Net Retained Premium</t>
        </is>
      </c>
      <c r="C20" s="73">
        <f t="array" ref="C20">Captive!C11</f>
        <v/>
      </c>
      <c r="D20" s="73">
        <f t="array" ref="D20">Captive!D11</f>
        <v/>
      </c>
      <c r="E20" s="73">
        <f t="array" ref="E20">Captive!E11</f>
        <v/>
      </c>
      <c r="F20" s="73">
        <f t="array" ref="F20">Captive!F11</f>
        <v/>
      </c>
      <c r="G20" s="73">
        <f t="array" ref="G20">Captive!G11</f>
        <v/>
      </c>
      <c r="I20" s="73">
        <f t="array" ref="I20">Captive!C11</f>
        <v/>
      </c>
      <c r="J20" s="73">
        <f t="array" ref="J20">Captive!D11</f>
        <v/>
      </c>
      <c r="K20" s="73">
        <f t="array" ref="K20">Captive!E11</f>
        <v/>
      </c>
      <c r="L20" s="73">
        <f t="array" ref="L20">Captive!F11</f>
        <v/>
      </c>
      <c r="M20" s="73">
        <f t="array" ref="M20">Captive!G11</f>
        <v/>
      </c>
      <c r="O20" s="73">
        <f t="array" ref="O20">Captive!C11</f>
        <v/>
      </c>
      <c r="P20" s="73">
        <f t="array" ref="P20">Captive!D11</f>
        <v/>
      </c>
      <c r="Q20" s="73">
        <f t="array" ref="Q20">Captive!E11</f>
        <v/>
      </c>
      <c r="R20" s="73">
        <f t="array" ref="R20">Captive!F11</f>
        <v/>
      </c>
      <c r="S20" s="73">
        <f t="array" ref="S20">Captive!G11</f>
        <v/>
      </c>
    </row>
    <row r="21" ht="15" customHeight="1" s="103">
      <c r="B21" s="65" t="inlineStr">
        <is>
          <t>Losses Incurred</t>
        </is>
      </c>
      <c r="C21" s="74">
        <f>-C20*C19</f>
        <v/>
      </c>
      <c r="D21" s="74">
        <f>-D20*D19</f>
        <v/>
      </c>
      <c r="E21" s="74">
        <f>-E20*E19</f>
        <v/>
      </c>
      <c r="F21" s="74">
        <f>-F20*F19</f>
        <v/>
      </c>
      <c r="G21" s="74">
        <f>-G20*G19</f>
        <v/>
      </c>
      <c r="I21" s="74">
        <f>-I20*I19</f>
        <v/>
      </c>
      <c r="J21" s="74">
        <f>-J20*J19</f>
        <v/>
      </c>
      <c r="K21" s="74">
        <f>-K20*K19</f>
        <v/>
      </c>
      <c r="L21" s="74">
        <f>-L20*L19</f>
        <v/>
      </c>
      <c r="M21" s="74">
        <f>-M20*M19</f>
        <v/>
      </c>
      <c r="O21" s="74">
        <f>-O20*O19</f>
        <v/>
      </c>
      <c r="P21" s="74">
        <f>-P20*P19</f>
        <v/>
      </c>
      <c r="Q21" s="74">
        <f>-Q20*Q19</f>
        <v/>
      </c>
      <c r="R21" s="74">
        <f>-R20*R19</f>
        <v/>
      </c>
      <c r="S21" s="74">
        <f>-S20*S19</f>
        <v/>
      </c>
    </row>
    <row r="22" ht="15" customHeight="1" s="103">
      <c r="B22" s="65" t="inlineStr">
        <is>
          <t>Claims Paid in Cash (payout pattern)</t>
        </is>
      </c>
      <c r="C22" s="73">
        <f>C21*Assumptions!$D$53</f>
        <v/>
      </c>
      <c r="D22" s="73">
        <f>D21*Assumptions!$D$53+C21*Assumptions!$D$54</f>
        <v/>
      </c>
      <c r="E22" s="73">
        <f>E21*Assumptions!$D$53+D21*Assumptions!$D$54+C21*Assumptions!$D$55</f>
        <v/>
      </c>
      <c r="F22" s="73">
        <f>F21*Assumptions!$D$53+E21*Assumptions!$D$54+D21*Assumptions!$D$55+C21*Assumptions!$D$56</f>
        <v/>
      </c>
      <c r="G22" s="73">
        <f>G21*Assumptions!$D$53+F21*Assumptions!$D$54+E21*Assumptions!$D$55+D21*Assumptions!$D$56</f>
        <v/>
      </c>
      <c r="H22" s="75" t="n"/>
      <c r="I22" s="73">
        <f>I21*Assumptions!$D$53</f>
        <v/>
      </c>
      <c r="J22" s="73">
        <f>J21*Assumptions!$D$53+I21*Assumptions!$D$54</f>
        <v/>
      </c>
      <c r="K22" s="73">
        <f>K21*Assumptions!$D$53+J21*Assumptions!$D$54+I21*Assumptions!$D$55</f>
        <v/>
      </c>
      <c r="L22" s="73">
        <f>L21*Assumptions!$D$53+K21*Assumptions!$D$54+J21*Assumptions!$D$55+I21*Assumptions!$D$56</f>
        <v/>
      </c>
      <c r="M22" s="73">
        <f>M21*Assumptions!$D$53+L21*Assumptions!$D$54+K21*Assumptions!$D$55+J21*Assumptions!$D$56</f>
        <v/>
      </c>
      <c r="N22" s="75" t="n"/>
      <c r="O22" s="73">
        <f>O21*Assumptions!$D$53</f>
        <v/>
      </c>
      <c r="P22" s="73">
        <f>P21*Assumptions!$D$53+O21*Assumptions!$D$54</f>
        <v/>
      </c>
      <c r="Q22" s="73">
        <f>Q21*Assumptions!$D$53+P21*Assumptions!$D$54+O21*Assumptions!$D$55</f>
        <v/>
      </c>
      <c r="R22" s="73">
        <f>R21*Assumptions!$D$53+Q21*Assumptions!$D$54+P21*Assumptions!$D$55+O21*Assumptions!$D$56</f>
        <v/>
      </c>
      <c r="S22" s="73">
        <f>S21*Assumptions!$D$53+R21*Assumptions!$D$54+Q21*Assumptions!$D$55+P21*Assumptions!$D$56</f>
        <v/>
      </c>
    </row>
    <row r="23" ht="15" customHeight="1" s="103">
      <c r="B23" s="65" t="inlineStr">
        <is>
          <t>Ending Loss Reserves</t>
        </is>
      </c>
      <c r="C23" s="74">
        <f>C22-C21</f>
        <v/>
      </c>
      <c r="D23" s="74">
        <f>C23+D22-D21</f>
        <v/>
      </c>
      <c r="E23" s="74">
        <f>D23+E22-E21</f>
        <v/>
      </c>
      <c r="F23" s="74">
        <f>E23+F22-F21</f>
        <v/>
      </c>
      <c r="G23" s="74">
        <f>F23+G22-G21</f>
        <v/>
      </c>
      <c r="I23" s="74">
        <f>I22-I21</f>
        <v/>
      </c>
      <c r="J23" s="74">
        <f>I23+J22-J21</f>
        <v/>
      </c>
      <c r="K23" s="74">
        <f>J23+K22-K21</f>
        <v/>
      </c>
      <c r="L23" s="74">
        <f>K23+L22-L21</f>
        <v/>
      </c>
      <c r="M23" s="74">
        <f>L23+M22-M21</f>
        <v/>
      </c>
      <c r="O23" s="74">
        <f>O22-O21</f>
        <v/>
      </c>
      <c r="P23" s="74">
        <f>O23+P22-P21</f>
        <v/>
      </c>
      <c r="Q23" s="74">
        <f>P23+Q22-Q21</f>
        <v/>
      </c>
      <c r="R23" s="74">
        <f>Q23+R22-R21</f>
        <v/>
      </c>
      <c r="S23" s="74">
        <f>R23+S22-S21</f>
        <v/>
      </c>
    </row>
    <row r="24" ht="15" customHeight="1" s="103">
      <c r="B24" s="65" t="inlineStr">
        <is>
          <t>Beginning Cell Equity</t>
        </is>
      </c>
      <c r="C24" s="73">
        <f t="array" ref="C24">Assumptions!$D$40</f>
        <v/>
      </c>
      <c r="D24" s="74">
        <f t="array" ref="D24">C31</f>
        <v/>
      </c>
      <c r="E24" s="74">
        <f t="array" ref="E24">D31</f>
        <v/>
      </c>
      <c r="F24" s="74">
        <f t="array" ref="F24">E31</f>
        <v/>
      </c>
      <c r="G24" s="74">
        <f t="array" ref="G24">F31</f>
        <v/>
      </c>
      <c r="I24" s="73">
        <f t="array" ref="I24">Assumptions!$D$40</f>
        <v/>
      </c>
      <c r="J24" s="74">
        <f t="array" ref="J24">I31</f>
        <v/>
      </c>
      <c r="K24" s="74">
        <f t="array" ref="K24">J31</f>
        <v/>
      </c>
      <c r="L24" s="74">
        <f t="array" ref="L24">K31</f>
        <v/>
      </c>
      <c r="M24" s="74">
        <f t="array" ref="M24">L31</f>
        <v/>
      </c>
      <c r="O24" s="73">
        <f t="array" ref="O24">Assumptions!$D$40</f>
        <v/>
      </c>
      <c r="P24" s="74">
        <f t="array" ref="P24">O31</f>
        <v/>
      </c>
      <c r="Q24" s="74">
        <f t="array" ref="Q24">P31</f>
        <v/>
      </c>
      <c r="R24" s="74">
        <f t="array" ref="R24">Q31</f>
        <v/>
      </c>
      <c r="S24" s="74">
        <f t="array" ref="S24">R31</f>
        <v/>
      </c>
    </row>
    <row r="25" ht="15" customHeight="1" s="103">
      <c r="B25" s="65" t="inlineStr">
        <is>
          <t>Investment Income</t>
        </is>
      </c>
      <c r="C25" s="73">
        <f>C24*Assumptions!$D$41</f>
        <v/>
      </c>
      <c r="D25" s="73">
        <f>D24*Assumptions!$D$41</f>
        <v/>
      </c>
      <c r="E25" s="73">
        <f>E24*Assumptions!$D$41</f>
        <v/>
      </c>
      <c r="F25" s="73">
        <f>F24*Assumptions!$D$41</f>
        <v/>
      </c>
      <c r="G25" s="73">
        <f>G24*Assumptions!$D$41</f>
        <v/>
      </c>
      <c r="H25" s="75" t="n"/>
      <c r="I25" s="73">
        <f>I24*Assumptions!$D$41</f>
        <v/>
      </c>
      <c r="J25" s="73">
        <f>J24*Assumptions!$D$41</f>
        <v/>
      </c>
      <c r="K25" s="73">
        <f>K24*Assumptions!$D$41</f>
        <v/>
      </c>
      <c r="L25" s="73">
        <f>L24*Assumptions!$D$41</f>
        <v/>
      </c>
      <c r="M25" s="73">
        <f>M24*Assumptions!$D$41</f>
        <v/>
      </c>
      <c r="N25" s="75" t="n"/>
      <c r="O25" s="73">
        <f>O24*Assumptions!$D$41</f>
        <v/>
      </c>
      <c r="P25" s="73">
        <f>P24*Assumptions!$D$41</f>
        <v/>
      </c>
      <c r="Q25" s="73">
        <f>Q24*Assumptions!$D$41</f>
        <v/>
      </c>
      <c r="R25" s="73">
        <f>R24*Assumptions!$D$41</f>
        <v/>
      </c>
      <c r="S25" s="73">
        <f>S24*Assumptions!$D$41</f>
        <v/>
      </c>
    </row>
    <row r="26" ht="15" customHeight="1" s="103">
      <c r="B26" s="65" t="inlineStr">
        <is>
          <t>Available Equity before Call &amp; Dividends</t>
        </is>
      </c>
      <c r="C26" s="74">
        <f>C24+C20+C22+C25-C23</f>
        <v/>
      </c>
      <c r="D26" s="74">
        <f>D24+D20+D22+D25-D23</f>
        <v/>
      </c>
      <c r="E26" s="74">
        <f>E24+E20+E22+E25-E23</f>
        <v/>
      </c>
      <c r="F26" s="74">
        <f>F24+F20+F22+F25-F23</f>
        <v/>
      </c>
      <c r="G26" s="74">
        <f>G24+G20+G22+G25-G23</f>
        <v/>
      </c>
      <c r="I26" s="74">
        <f>I24+I20+I22+I25-I23</f>
        <v/>
      </c>
      <c r="J26" s="74">
        <f>J24+J20+J22+J25-J23</f>
        <v/>
      </c>
      <c r="K26" s="74">
        <f>K24+K20+K22+K25-K23</f>
        <v/>
      </c>
      <c r="L26" s="74">
        <f>L24+L20+L22+L25-L23</f>
        <v/>
      </c>
      <c r="M26" s="74">
        <f>M24+M20+M22+M25-M23</f>
        <v/>
      </c>
      <c r="O26" s="74">
        <f>O24+O20+O22+O25-O23</f>
        <v/>
      </c>
      <c r="P26" s="74">
        <f>P24+P20+P22+P25-P23</f>
        <v/>
      </c>
      <c r="Q26" s="74">
        <f>Q24+Q20+Q22+Q25-Q23</f>
        <v/>
      </c>
      <c r="R26" s="74">
        <f>R24+R20+R22+R25-R23</f>
        <v/>
      </c>
      <c r="S26" s="74">
        <f>S24+S20+S22+S25-S23</f>
        <v/>
      </c>
    </row>
    <row r="27" ht="15" customHeight="1" s="103">
      <c r="B27" s="65" t="inlineStr">
        <is>
          <t>Minimum Cell Capital Requirement</t>
        </is>
      </c>
      <c r="C27" s="73">
        <f>Assumptions!$D$60*D20</f>
        <v/>
      </c>
      <c r="D27" s="73">
        <f>Assumptions!$D$60*E20</f>
        <v/>
      </c>
      <c r="E27" s="73">
        <f>Assumptions!$D$60*F20</f>
        <v/>
      </c>
      <c r="F27" s="73">
        <f>Assumptions!$D$60*G20</f>
        <v/>
      </c>
      <c r="G27" s="73">
        <f>Assumptions!$D$60*G20*(1+Assumptions!$D$9)*(1+Assumptions!$D$43)</f>
        <v/>
      </c>
      <c r="H27" s="75" t="n"/>
      <c r="I27" s="73">
        <f>Assumptions!$D$60*J20</f>
        <v/>
      </c>
      <c r="J27" s="73">
        <f>Assumptions!$D$60*K20</f>
        <v/>
      </c>
      <c r="K27" s="73">
        <f>Assumptions!$D$60*L20</f>
        <v/>
      </c>
      <c r="L27" s="73">
        <f>Assumptions!$D$60*M20</f>
        <v/>
      </c>
      <c r="M27" s="73">
        <f>Assumptions!$D$60*M20*(1+Assumptions!$D$9)*(1+Assumptions!$D$43)</f>
        <v/>
      </c>
      <c r="N27" s="75" t="n"/>
      <c r="O27" s="73">
        <f>Assumptions!$D$60*P20</f>
        <v/>
      </c>
      <c r="P27" s="73">
        <f>Assumptions!$D$60*Q20</f>
        <v/>
      </c>
      <c r="Q27" s="73">
        <f>Assumptions!$D$60*R20</f>
        <v/>
      </c>
      <c r="R27" s="73">
        <f>Assumptions!$D$60*S20</f>
        <v/>
      </c>
      <c r="S27" s="73">
        <f>Assumptions!$D$60*S20*(1+Assumptions!$D$9)*(1+Assumptions!$D$43)</f>
        <v/>
      </c>
    </row>
    <row r="28" ht="15" customHeight="1" s="103">
      <c r="B28" s="65" t="inlineStr">
        <is>
          <t>Capital Call / Additional Contribution</t>
        </is>
      </c>
      <c r="C28" s="73">
        <f>IF(Assumptions!$D$61="Yes",MAX(0,C27-C26),0)</f>
        <v/>
      </c>
      <c r="D28" s="73">
        <f>IF(Assumptions!$D$61="Yes",MAX(0,D27-D26),0)</f>
        <v/>
      </c>
      <c r="E28" s="73">
        <f>IF(Assumptions!$D$61="Yes",MAX(0,E27-E26),0)</f>
        <v/>
      </c>
      <c r="F28" s="73">
        <f>IF(Assumptions!$D$61="Yes",MAX(0,F27-F26),0)</f>
        <v/>
      </c>
      <c r="G28" s="73">
        <f>IF(Assumptions!$D$61="Yes",MAX(0,G27-G26),0)</f>
        <v/>
      </c>
      <c r="H28" s="75" t="n"/>
      <c r="I28" s="73">
        <f>IF(Assumptions!$D$61="Yes",MAX(0,I27-I26),0)</f>
        <v/>
      </c>
      <c r="J28" s="73">
        <f>IF(Assumptions!$D$61="Yes",MAX(0,J27-J26),0)</f>
        <v/>
      </c>
      <c r="K28" s="73">
        <f>IF(Assumptions!$D$61="Yes",MAX(0,K27-K26),0)</f>
        <v/>
      </c>
      <c r="L28" s="73">
        <f>IF(Assumptions!$D$61="Yes",MAX(0,L27-L26),0)</f>
        <v/>
      </c>
      <c r="M28" s="73">
        <f>IF(Assumptions!$D$61="Yes",MAX(0,M27-M26),0)</f>
        <v/>
      </c>
      <c r="N28" s="75" t="n"/>
      <c r="O28" s="73">
        <f>IF(Assumptions!$D$61="Yes",MAX(0,O27-O26),0)</f>
        <v/>
      </c>
      <c r="P28" s="73">
        <f>IF(Assumptions!$D$61="Yes",MAX(0,P27-P26),0)</f>
        <v/>
      </c>
      <c r="Q28" s="73">
        <f>IF(Assumptions!$D$61="Yes",MAX(0,Q27-Q26),0)</f>
        <v/>
      </c>
      <c r="R28" s="73">
        <f>IF(Assumptions!$D$61="Yes",MAX(0,R27-R26),0)</f>
        <v/>
      </c>
      <c r="S28" s="73">
        <f>IF(Assumptions!$D$61="Yes",MAX(0,S27-S26),0)</f>
        <v/>
      </c>
    </row>
    <row r="29" ht="15" customHeight="1" s="103">
      <c r="B29" s="65" t="inlineStr">
        <is>
          <t>Total Cell Income</t>
        </is>
      </c>
      <c r="C29" s="74">
        <f>C20+C21+C25</f>
        <v/>
      </c>
      <c r="D29" s="74">
        <f>D20+D21+D25</f>
        <v/>
      </c>
      <c r="E29" s="74">
        <f>E20+E21+E25</f>
        <v/>
      </c>
      <c r="F29" s="74">
        <f>F20+F21+F25</f>
        <v/>
      </c>
      <c r="G29" s="74">
        <f>G20+G21+G25</f>
        <v/>
      </c>
      <c r="I29" s="74">
        <f>I20+I21+I25</f>
        <v/>
      </c>
      <c r="J29" s="74">
        <f>J20+J21+J25</f>
        <v/>
      </c>
      <c r="K29" s="74">
        <f>K20+K21+K25</f>
        <v/>
      </c>
      <c r="L29" s="74">
        <f>L20+L21+L25</f>
        <v/>
      </c>
      <c r="M29" s="74">
        <f>M20+M21+M25</f>
        <v/>
      </c>
      <c r="O29" s="74">
        <f>O20+O21+O25</f>
        <v/>
      </c>
      <c r="P29" s="74">
        <f>P20+P21+P25</f>
        <v/>
      </c>
      <c r="Q29" s="74">
        <f>Q20+Q21+Q25</f>
        <v/>
      </c>
      <c r="R29" s="74">
        <f>R20+R21+R25</f>
        <v/>
      </c>
      <c r="S29" s="74">
        <f>S20+S21+S25</f>
        <v/>
      </c>
    </row>
    <row r="30" ht="15" customHeight="1" s="103">
      <c r="B30" s="65" t="inlineStr">
        <is>
          <t>Dividends Paid to Participant</t>
        </is>
      </c>
      <c r="C30" s="73">
        <f>IF(C28&gt;0,0,MAX(0,MIN(Assumptions!$D$42*MAX(0,C29),C26-C27)))</f>
        <v/>
      </c>
      <c r="D30" s="73">
        <f>IF(D28&gt;0,0,MAX(0,MIN(Assumptions!$D$42*MAX(0,D29),D26-D27)))</f>
        <v/>
      </c>
      <c r="E30" s="73">
        <f>IF(E28&gt;0,0,MAX(0,MIN(Assumptions!$D$42*MAX(0,E29),E26-E27)))</f>
        <v/>
      </c>
      <c r="F30" s="73">
        <f>IF(F28&gt;0,0,MAX(0,MIN(Assumptions!$D$42*MAX(0,F29),F26-F27)))</f>
        <v/>
      </c>
      <c r="G30" s="73">
        <f>IF(G28&gt;0,0,MAX(0,MIN(Assumptions!$D$42*MAX(0,G29),G26-G27)))</f>
        <v/>
      </c>
      <c r="H30" s="75" t="n"/>
      <c r="I30" s="73">
        <f>IF(I28&gt;0,0,MAX(0,MIN(Assumptions!$D$42*MAX(0,I29),I26-I27)))</f>
        <v/>
      </c>
      <c r="J30" s="73">
        <f>IF(J28&gt;0,0,MAX(0,MIN(Assumptions!$D$42*MAX(0,J29),J26-J27)))</f>
        <v/>
      </c>
      <c r="K30" s="73">
        <f>IF(K28&gt;0,0,MAX(0,MIN(Assumptions!$D$42*MAX(0,K29),K26-K27)))</f>
        <v/>
      </c>
      <c r="L30" s="73">
        <f>IF(L28&gt;0,0,MAX(0,MIN(Assumptions!$D$42*MAX(0,L29),L26-L27)))</f>
        <v/>
      </c>
      <c r="M30" s="73">
        <f>IF(M28&gt;0,0,MAX(0,MIN(Assumptions!$D$42*MAX(0,M29),M26-M27)))</f>
        <v/>
      </c>
      <c r="N30" s="75" t="n"/>
      <c r="O30" s="73">
        <f>IF(O28&gt;0,0,MAX(0,MIN(Assumptions!$D$42*MAX(0,O29),O26-O27)))</f>
        <v/>
      </c>
      <c r="P30" s="73">
        <f>IF(P28&gt;0,0,MAX(0,MIN(Assumptions!$D$42*MAX(0,P29),P26-P27)))</f>
        <v/>
      </c>
      <c r="Q30" s="73">
        <f>IF(Q28&gt;0,0,MAX(0,MIN(Assumptions!$D$42*MAX(0,Q29),Q26-Q27)))</f>
        <v/>
      </c>
      <c r="R30" s="73">
        <f>IF(R28&gt;0,0,MAX(0,MIN(Assumptions!$D$42*MAX(0,R29),R26-R27)))</f>
        <v/>
      </c>
      <c r="S30" s="73">
        <f>IF(S28&gt;0,0,MAX(0,MIN(Assumptions!$D$42*MAX(0,S29),S26-S27)))</f>
        <v/>
      </c>
    </row>
    <row r="31" ht="15" customHeight="1" s="103">
      <c r="B31" s="65" t="inlineStr">
        <is>
          <t>Ending Cell Equity</t>
        </is>
      </c>
      <c r="C31" s="76">
        <f>C24+C20+C22+C25+C28-C30</f>
        <v/>
      </c>
      <c r="D31" s="76">
        <f>D24+D20+D22+D25+D28-D30</f>
        <v/>
      </c>
      <c r="E31" s="76">
        <f>E24+E20+E22+E25+E28-E30</f>
        <v/>
      </c>
      <c r="F31" s="76">
        <f>F24+F20+F22+F25+F28-F30</f>
        <v/>
      </c>
      <c r="G31" s="76">
        <f>G24+G20+G22+G25+G28-G30</f>
        <v/>
      </c>
      <c r="I31" s="76">
        <f>I24+I20+I22+I25+I28-I30</f>
        <v/>
      </c>
      <c r="J31" s="76">
        <f>J24+J20+J22+J25+J28-J30</f>
        <v/>
      </c>
      <c r="K31" s="76">
        <f>K24+K20+K22+K25+K28-K30</f>
        <v/>
      </c>
      <c r="L31" s="76">
        <f>L24+L20+L22+L25+L28-L30</f>
        <v/>
      </c>
      <c r="M31" s="76">
        <f>M24+M20+M22+M25+M28-M30</f>
        <v/>
      </c>
      <c r="O31" s="76">
        <f>O24+O20+O22+O25+O28-O30</f>
        <v/>
      </c>
      <c r="P31" s="76">
        <f>P24+P20+P22+P25+P28-P30</f>
        <v/>
      </c>
      <c r="Q31" s="76">
        <f>Q24+Q20+Q22+Q25+Q28-Q30</f>
        <v/>
      </c>
      <c r="R31" s="76">
        <f>R24+R20+R22+R25+R28-R30</f>
        <v/>
      </c>
      <c r="S31" s="76">
        <f>S24+S20+S22+S25+S28-S30</f>
        <v/>
      </c>
    </row>
    <row r="32" ht="15" customHeight="1" s="103">
      <c r="B32" s="65" t="inlineStr">
        <is>
          <t>Available Equity (net of Loss Reserves)</t>
        </is>
      </c>
      <c r="C32" s="74">
        <f>C31-C23</f>
        <v/>
      </c>
      <c r="D32" s="74">
        <f>D31-D23</f>
        <v/>
      </c>
      <c r="E32" s="74">
        <f>E31-E23</f>
        <v/>
      </c>
      <c r="F32" s="74">
        <f>F31-F23</f>
        <v/>
      </c>
      <c r="G32" s="74">
        <f>G31-G23</f>
        <v/>
      </c>
      <c r="I32" s="74">
        <f>I31-I23</f>
        <v/>
      </c>
      <c r="J32" s="74">
        <f>J31-J23</f>
        <v/>
      </c>
      <c r="K32" s="74">
        <f>K31-K23</f>
        <v/>
      </c>
      <c r="L32" s="74">
        <f>L31-L23</f>
        <v/>
      </c>
      <c r="M32" s="74">
        <f>M31-M23</f>
        <v/>
      </c>
      <c r="O32" s="74">
        <f>O31-O23</f>
        <v/>
      </c>
      <c r="P32" s="74">
        <f>P31-P23</f>
        <v/>
      </c>
      <c r="Q32" s="74">
        <f>Q31-Q23</f>
        <v/>
      </c>
      <c r="R32" s="74">
        <f>R31-R23</f>
        <v/>
      </c>
      <c r="S32" s="74">
        <f>S31-S23</f>
        <v/>
      </c>
    </row>
    <row r="33" ht="15" customHeight="1" s="103">
      <c r="B33" s="65" t="inlineStr">
        <is>
          <t>Net Annual Cash Impact</t>
        </is>
      </c>
      <c r="C33" s="73">
        <f>-Captive!C7-Assumptions!$D$40-C28+C30</f>
        <v/>
      </c>
      <c r="D33" s="73">
        <f>-Captive!D7-D28+D30</f>
        <v/>
      </c>
      <c r="E33" s="73">
        <f>-Captive!E7-E28+E30</f>
        <v/>
      </c>
      <c r="F33" s="73">
        <f>-Captive!F7-F28+F30</f>
        <v/>
      </c>
      <c r="G33" s="73">
        <f>-Captive!G7-G28+G30</f>
        <v/>
      </c>
      <c r="H33" s="75" t="n"/>
      <c r="I33" s="73">
        <f>-Captive!C7-Assumptions!$D$40-I28+I30</f>
        <v/>
      </c>
      <c r="J33" s="73">
        <f>-Captive!D7-J28+J30</f>
        <v/>
      </c>
      <c r="K33" s="73">
        <f>-Captive!E7-K28+K30</f>
        <v/>
      </c>
      <c r="L33" s="73">
        <f>-Captive!F7-L28+L30</f>
        <v/>
      </c>
      <c r="M33" s="73">
        <f>-Captive!G7-M28+M30</f>
        <v/>
      </c>
      <c r="N33" s="75" t="n"/>
      <c r="O33" s="73">
        <f>-Captive!C7-Assumptions!$D$40-O28+O30</f>
        <v/>
      </c>
      <c r="P33" s="73">
        <f>-Captive!D7-P28+P30</f>
        <v/>
      </c>
      <c r="Q33" s="73">
        <f>-Captive!E7-Q28+Q30</f>
        <v/>
      </c>
      <c r="R33" s="73">
        <f>-Captive!F7-R28+R30</f>
        <v/>
      </c>
      <c r="S33" s="73">
        <f>-Captive!G7-S28+S30</f>
        <v/>
      </c>
    </row>
    <row r="34" ht="15" customHeight="1" s="103">
      <c r="B34" s="65" t="inlineStr">
        <is>
          <t>Cumulative Net Cash Impact</t>
        </is>
      </c>
      <c r="C34" s="74">
        <f t="array" ref="C34">C33</f>
        <v/>
      </c>
      <c r="D34" s="74">
        <f>C34+D33</f>
        <v/>
      </c>
      <c r="E34" s="74">
        <f>D34+E33</f>
        <v/>
      </c>
      <c r="F34" s="74">
        <f>E34+F33</f>
        <v/>
      </c>
      <c r="G34" s="74">
        <f>F34+G33</f>
        <v/>
      </c>
      <c r="I34" s="74">
        <f t="array" ref="I34">I33</f>
        <v/>
      </c>
      <c r="J34" s="74">
        <f>I34+J33</f>
        <v/>
      </c>
      <c r="K34" s="74">
        <f>J34+K33</f>
        <v/>
      </c>
      <c r="L34" s="74">
        <f>K34+L33</f>
        <v/>
      </c>
      <c r="M34" s="74">
        <f>L34+M33</f>
        <v/>
      </c>
      <c r="O34" s="74">
        <f t="array" ref="O34">O33</f>
        <v/>
      </c>
      <c r="P34" s="74">
        <f>O34+P33</f>
        <v/>
      </c>
      <c r="Q34" s="74">
        <f>P34+Q33</f>
        <v/>
      </c>
      <c r="R34" s="74">
        <f>Q34+R33</f>
        <v/>
      </c>
      <c r="S34" s="74">
        <f>R34+S33</f>
        <v/>
      </c>
    </row>
    <row r="35" ht="15" customHeight="1" s="103">
      <c r="B35" s="65" t="inlineStr">
        <is>
          <t>Total Economic Position (Cash + Equity)</t>
        </is>
      </c>
      <c r="C35" s="77">
        <f>C34+C32</f>
        <v/>
      </c>
      <c r="D35" s="77">
        <f>D34+D32</f>
        <v/>
      </c>
      <c r="E35" s="77">
        <f>E34+E32</f>
        <v/>
      </c>
      <c r="F35" s="77">
        <f>F34+F32</f>
        <v/>
      </c>
      <c r="G35" s="77">
        <f>G34+G32</f>
        <v/>
      </c>
      <c r="I35" s="77">
        <f>I34+I32</f>
        <v/>
      </c>
      <c r="J35" s="77">
        <f>J34+J32</f>
        <v/>
      </c>
      <c r="K35" s="77">
        <f>K34+K32</f>
        <v/>
      </c>
      <c r="L35" s="77">
        <f>L34+L32</f>
        <v/>
      </c>
      <c r="M35" s="77">
        <f>M34+M32</f>
        <v/>
      </c>
      <c r="O35" s="77">
        <f>O34+O32</f>
        <v/>
      </c>
      <c r="P35" s="77">
        <f>P34+P32</f>
        <v/>
      </c>
      <c r="Q35" s="77">
        <f>Q34+Q32</f>
        <v/>
      </c>
      <c r="R35" s="77">
        <f>R34+R32</f>
        <v/>
      </c>
      <c r="S35" s="77">
        <f>S34+S32</f>
        <v/>
      </c>
    </row>
  </sheetData>
  <pageMargins left="0.7" right="0.7" top="0.75" bottom="0.75" header="0.3" footer="0.3"/>
  <pageSetup orientation="portrait"/>
  <headerFooter>
    <oddHeader>&amp;L&amp;C&amp;R</oddHeader>
    <oddFooter>&amp;L&amp;C&amp;R</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2:H27"/>
  <sheetViews>
    <sheetView showGridLines="0" workbookViewId="0">
      <selection activeCell="A1" sqref="A1"/>
    </sheetView>
  </sheetViews>
  <sheetFormatPr baseColWidth="10" defaultColWidth="7.6640625" defaultRowHeight="15" customHeight="1"/>
  <cols>
    <col width="2.1640625" customWidth="1" style="103" min="1" max="1"/>
    <col width="35" customWidth="1" style="103" min="2" max="2"/>
    <col width="11.1640625" customWidth="1" style="103" min="3" max="8"/>
  </cols>
  <sheetData>
    <row r="2" ht="15" customHeight="1" s="103">
      <c r="B2" s="60" t="inlineStr">
        <is>
          <t>NPV &amp; Valuation — Discounted Cash Flow Analysis</t>
        </is>
      </c>
    </row>
    <row r="3" ht="15" customHeight="1" s="103">
      <c r="B3" s="61" t="inlineStr">
        <is>
          <t>All cash flows discounted at the NPV discount rate on the Assumptions tab, assuming end-of-year timing.</t>
        </is>
      </c>
    </row>
    <row r="5" ht="15" customHeight="1" s="103">
      <c r="B5" s="62" t="inlineStr">
        <is>
          <t>DISCOUNTED ANNUAL CASH FLOWS</t>
        </is>
      </c>
      <c r="C5" s="63" t="n"/>
      <c r="D5" s="63" t="n"/>
      <c r="E5" s="63" t="n"/>
      <c r="F5" s="63" t="n"/>
      <c r="G5" s="63" t="n"/>
      <c r="H5" s="63" t="n"/>
    </row>
    <row r="6" ht="15" customHeight="1" s="103">
      <c r="C6" s="64" t="inlineStr">
        <is>
          <t>Year 1</t>
        </is>
      </c>
      <c r="D6" s="64" t="inlineStr">
        <is>
          <t>Year 2</t>
        </is>
      </c>
      <c r="E6" s="64" t="inlineStr">
        <is>
          <t>Year 3</t>
        </is>
      </c>
      <c r="F6" s="64" t="inlineStr">
        <is>
          <t>Year 4</t>
        </is>
      </c>
      <c r="G6" s="64" t="inlineStr">
        <is>
          <t>Year 5</t>
        </is>
      </c>
      <c r="H6" s="64" t="inlineStr">
        <is>
          <t>Total</t>
        </is>
      </c>
    </row>
    <row r="7" ht="15" customHeight="1" s="103">
      <c r="B7" s="65" t="inlineStr">
        <is>
          <t>Discount Factor</t>
        </is>
      </c>
      <c r="C7" s="78">
        <f>1/(1+Assumptions!$D$47)^1</f>
        <v/>
      </c>
      <c r="D7" s="78">
        <f>1/(1+Assumptions!$D$47)^2</f>
        <v/>
      </c>
      <c r="E7" s="78">
        <f>1/(1+Assumptions!$D$47)^3</f>
        <v/>
      </c>
      <c r="F7" s="78">
        <f>1/(1+Assumptions!$D$47)^4</f>
        <v/>
      </c>
      <c r="G7" s="78">
        <f>1/(1+Assumptions!$D$47)^5</f>
        <v/>
      </c>
    </row>
    <row r="8" ht="15" customHeight="1" s="103">
      <c r="B8" s="65" t="inlineStr">
        <is>
          <t>Traditional — Net Annual Cash Impact</t>
        </is>
      </c>
      <c r="C8" s="73">
        <f t="array" ref="C8">Traditional!C12</f>
        <v/>
      </c>
      <c r="D8" s="73">
        <f t="array" ref="D8">Traditional!D12</f>
        <v/>
      </c>
      <c r="E8" s="73">
        <f t="array" ref="E8">Traditional!E12</f>
        <v/>
      </c>
      <c r="F8" s="73">
        <f t="array" ref="F8">Traditional!F12</f>
        <v/>
      </c>
      <c r="G8" s="73">
        <f t="array" ref="G8">Traditional!G12</f>
        <v/>
      </c>
      <c r="H8" s="73">
        <f>SUM(C8:G8)</f>
        <v/>
      </c>
    </row>
    <row r="9" ht="15" customHeight="1" s="103">
      <c r="B9" s="65" t="inlineStr">
        <is>
          <t>Traditional — PV of Cash Flows</t>
        </is>
      </c>
      <c r="C9" s="74">
        <f>C8*C7</f>
        <v/>
      </c>
      <c r="D9" s="74">
        <f>D8*D7</f>
        <v/>
      </c>
      <c r="E9" s="74">
        <f>E8*E7</f>
        <v/>
      </c>
      <c r="F9" s="74">
        <f>F8*F7</f>
        <v/>
      </c>
      <c r="G9" s="74">
        <f>G8*G7</f>
        <v/>
      </c>
      <c r="H9" s="74">
        <f>SUM(C9:G9)</f>
        <v/>
      </c>
    </row>
    <row r="10" ht="15" customHeight="1" s="103">
      <c r="B10" s="65" t="inlineStr">
        <is>
          <t>Captive — Net Annual Cash Impact</t>
        </is>
      </c>
      <c r="C10" s="73">
        <f t="array" ref="C10">Captive!C45</f>
        <v/>
      </c>
      <c r="D10" s="73">
        <f t="array" ref="D10">Captive!D45</f>
        <v/>
      </c>
      <c r="E10" s="73">
        <f t="array" ref="E10">Captive!E45</f>
        <v/>
      </c>
      <c r="F10" s="73">
        <f t="array" ref="F10">Captive!F45</f>
        <v/>
      </c>
      <c r="G10" s="73">
        <f t="array" ref="G10">Captive!G45</f>
        <v/>
      </c>
      <c r="H10" s="73">
        <f>SUM(C10:G10)</f>
        <v/>
      </c>
    </row>
    <row r="11" ht="15" customHeight="1" s="103">
      <c r="B11" s="65" t="inlineStr">
        <is>
          <t>Captive — PV of Cash Flows</t>
        </is>
      </c>
      <c r="C11" s="74">
        <f>C10*C7</f>
        <v/>
      </c>
      <c r="D11" s="74">
        <f>D10*D7</f>
        <v/>
      </c>
      <c r="E11" s="74">
        <f>E10*E7</f>
        <v/>
      </c>
      <c r="F11" s="74">
        <f>F10*F7</f>
        <v/>
      </c>
      <c r="G11" s="74">
        <f>G10*G7</f>
        <v/>
      </c>
      <c r="H11" s="74">
        <f>SUM(C11:G11)</f>
        <v/>
      </c>
    </row>
    <row r="13" ht="15" customHeight="1" s="103">
      <c r="B13" s="65" t="inlineStr">
        <is>
          <t>Year 5 Potential Redemption Value (gross)</t>
        </is>
      </c>
      <c r="C13" s="73" t="n"/>
      <c r="D13" s="73" t="n"/>
      <c r="E13" s="73" t="n"/>
      <c r="F13" s="73" t="n"/>
      <c r="G13" s="73">
        <f t="array" ref="G13">Captive!G53</f>
        <v/>
      </c>
    </row>
    <row r="14" ht="15" customHeight="1" s="103">
      <c r="B14" s="79" t="inlineStr">
        <is>
          <t xml:space="preserve">  Less: Hold-back for Run-off / IBNR</t>
        </is>
      </c>
      <c r="C14" s="74" t="n"/>
      <c r="D14" s="74" t="n"/>
      <c r="E14" s="74" t="n"/>
      <c r="F14" s="74" t="n"/>
      <c r="G14" s="73">
        <f>-G13*Assumptions!$D$49</f>
        <v/>
      </c>
    </row>
    <row r="15" ht="15" customHeight="1" s="103">
      <c r="B15" s="65" t="inlineStr">
        <is>
          <t>Redemption Net of Hold-back</t>
        </is>
      </c>
      <c r="C15" s="74" t="n"/>
      <c r="D15" s="74" t="n"/>
      <c r="E15" s="74" t="n"/>
      <c r="F15" s="74" t="n"/>
      <c r="G15" s="74">
        <f>G13+G14</f>
        <v/>
      </c>
    </row>
    <row r="16" ht="15" customHeight="1" s="103">
      <c r="B16" s="65" t="inlineStr">
        <is>
          <t>PV of Net Redemption Value</t>
        </is>
      </c>
      <c r="C16" s="74" t="n"/>
      <c r="D16" s="74" t="n"/>
      <c r="E16" s="74" t="n"/>
      <c r="F16" s="74" t="n"/>
      <c r="G16" s="74">
        <f>G15*G7</f>
        <v/>
      </c>
    </row>
    <row r="18" ht="15" customHeight="1" s="103">
      <c r="B18" s="62" t="inlineStr">
        <is>
          <t>NPV SUMMARY</t>
        </is>
      </c>
      <c r="C18" s="63" t="n"/>
      <c r="D18" s="63" t="n"/>
    </row>
    <row r="19" ht="15" customHeight="1" s="103">
      <c r="B19" s="65" t="inlineStr">
        <is>
          <t>Discount Rate</t>
        </is>
      </c>
      <c r="D19" s="72">
        <f t="array" ref="D19">Assumptions!$D$47</f>
        <v/>
      </c>
    </row>
    <row r="20" ht="15" customHeight="1" s="103">
      <c r="B20" s="65" t="inlineStr">
        <is>
          <t>NPV — Traditional Expense Stream</t>
        </is>
      </c>
      <c r="D20" s="74">
        <f t="array" ref="D20">H9</f>
        <v/>
      </c>
    </row>
    <row r="21" ht="15" customHeight="1" s="103">
      <c r="B21" s="65" t="inlineStr">
        <is>
          <t>NPV — Captive Cash Flows (excl. redemption)</t>
        </is>
      </c>
      <c r="D21" s="74">
        <f t="array" ref="D21">H11</f>
        <v/>
      </c>
    </row>
    <row r="22" ht="15" customHeight="1" s="103">
      <c r="B22" s="65" t="inlineStr">
        <is>
          <t>PV — Net Redemption Value (if exit = Yes)</t>
        </is>
      </c>
      <c r="D22" s="74">
        <f t="array" ref="D22">G16</f>
        <v/>
      </c>
    </row>
    <row r="23" ht="15" customHeight="1" s="103">
      <c r="B23" s="65" t="inlineStr">
        <is>
          <t>NPV — Captive Total (incl. redemption)</t>
        </is>
      </c>
      <c r="D23" s="74">
        <f>H11+G16</f>
        <v/>
      </c>
    </row>
    <row r="24" ht="15" customHeight="1" s="103">
      <c r="B24" s="80" t="inlineStr">
        <is>
          <t>NPV of Captive Advantage vs Traditional</t>
        </is>
      </c>
      <c r="D24" s="77">
        <f>D23-D20</f>
        <v/>
      </c>
    </row>
    <row r="25" ht="15" customHeight="1" s="103">
      <c r="B25" s="65" t="inlineStr">
        <is>
          <t>NPV of Captive Advantage (excl. redemption)</t>
        </is>
      </c>
      <c r="D25" s="74">
        <f>D21-D20</f>
        <v/>
      </c>
    </row>
    <row r="27" ht="15" customHeight="1" s="103">
      <c r="B27" s="81" t="inlineStr">
        <is>
          <t>Note: The redemption value is illustrative only. Actual redemption of cell equity is subject to board approval, regulatory capital requirements, and completion of claims run-off. The hold-back (Assumptions tab) approximates amounts retained for run-off / IBNR at exit; loss reserves outstanding at Year 5 are already excluded from Available Equity.</t>
        </is>
      </c>
    </row>
  </sheetData>
  <pageMargins left="0.7" right="0.7" top="0.75" bottom="0.75" header="0.3" footer="0.3"/>
  <pageSetup orientation="portrait"/>
  <headerFooter>
    <oddHeader>&amp;L&amp;C&amp;R</oddHeader>
    <oddFooter>&amp;L&amp;C&amp;R</oddFooter>
    <evenHeader/>
    <evenFooter/>
    <firstHeader/>
    <firstFooter/>
  </headerFooter>
</worksheet>
</file>

<file path=xl/worksheets/sheet7.xml><?xml version="1.0" encoding="utf-8"?>
<worksheet xmlns="http://schemas.openxmlformats.org/spreadsheetml/2006/main">
  <sheetPr>
    <outlinePr summaryBelow="1" summaryRight="1"/>
    <pageSetUpPr/>
  </sheetPr>
  <dimension ref="B2:N66"/>
  <sheetViews>
    <sheetView showGridLines="0" workbookViewId="0">
      <selection activeCell="I57" sqref="I57:N57"/>
    </sheetView>
  </sheetViews>
  <sheetFormatPr baseColWidth="10" defaultColWidth="7.83203125" defaultRowHeight="15" customHeight="1"/>
  <cols>
    <col width="1.5" customWidth="1" style="103" min="1" max="1"/>
    <col width="25" customWidth="1" style="103" min="2" max="2"/>
    <col width="12.5" customWidth="1" style="103" min="3" max="7"/>
    <col width="14.83203125" customWidth="1" style="103" min="8" max="8"/>
    <col width="16.1640625" customWidth="1" style="103" min="9" max="9"/>
    <col width="12.5" customWidth="1" style="103" min="10" max="10"/>
    <col width="15" customWidth="1" style="103" min="11" max="11"/>
    <col width="12.5" customWidth="1" style="103" min="12" max="12"/>
  </cols>
  <sheetData>
    <row r="2" ht="15" customHeight="1" s="103">
      <c r="B2" s="37" t="inlineStr">
        <is>
          <t>Executive Dashboard — PCC Group Captive vs. Traditional Insurance</t>
        </is>
      </c>
    </row>
    <row r="4" ht="15" customHeight="1" s="103">
      <c r="B4" s="48" t="inlineStr">
        <is>
          <t>KEY PERFORMANCE INDICATORS (5-Year)</t>
        </is>
      </c>
      <c r="C4" s="49" t="n"/>
      <c r="D4" s="49" t="n"/>
      <c r="E4" s="49" t="n"/>
      <c r="F4" s="49" t="n"/>
      <c r="G4" s="49" t="n"/>
      <c r="H4" s="49" t="n"/>
      <c r="I4" s="49" t="n"/>
      <c r="J4" s="49" t="n"/>
      <c r="K4" s="49" t="n"/>
      <c r="L4" s="49" t="n"/>
    </row>
    <row r="5" ht="15" customHeight="1" s="103">
      <c r="B5" s="82" t="inlineStr">
        <is>
          <t>Total Premium Paid</t>
        </is>
      </c>
      <c r="C5" s="83">
        <f t="array" ref="C5">Comparison!C31</f>
        <v/>
      </c>
      <c r="E5" s="82" t="inlineStr">
        <is>
          <t>Net Cash Savings</t>
        </is>
      </c>
      <c r="F5" s="83">
        <f t="array" ref="F5">Comparison!E36</f>
        <v/>
      </c>
      <c r="H5" s="82" t="inlineStr">
        <is>
          <t>Captive Equity Built</t>
        </is>
      </c>
      <c r="I5" s="83">
        <f t="array" ref="I5">Captive!G38</f>
        <v/>
      </c>
      <c r="K5" s="82" t="inlineStr">
        <is>
          <t>% Cost Reduction</t>
        </is>
      </c>
      <c r="L5" s="84">
        <f t="array" ref="L5">Comparison!E40</f>
        <v/>
      </c>
    </row>
    <row r="6" ht="15" customHeight="1" s="103">
      <c r="B6" s="82" t="n"/>
      <c r="E6" s="82" t="inlineStr">
        <is>
          <t>(Captive vs Trad.)</t>
        </is>
      </c>
      <c r="H6" s="82" t="inlineStr">
        <is>
          <t>(Year 5, net of reserves)</t>
        </is>
      </c>
    </row>
    <row r="8" ht="15" customHeight="1" s="103">
      <c r="B8" s="82" t="inlineStr">
        <is>
          <t>Capital Calls — Base</t>
        </is>
      </c>
      <c r="C8" s="85">
        <f t="array" ref="C8">Scenarios!D11</f>
        <v/>
      </c>
      <c r="E8" s="82" t="inlineStr">
        <is>
          <t>NPV Advantage</t>
        </is>
      </c>
      <c r="F8" s="83">
        <f t="array" ref="F8">NPV_Valuation!D24</f>
        <v/>
      </c>
      <c r="H8" s="82" t="inlineStr">
        <is>
          <t>Cap. Calls — Mod.</t>
        </is>
      </c>
      <c r="I8" s="85">
        <f t="array" ref="I8">Scenarios!E11</f>
        <v/>
      </c>
      <c r="K8" s="82" t="inlineStr">
        <is>
          <t>Cap. Calls — Severe</t>
        </is>
      </c>
      <c r="L8" s="85">
        <f t="array" ref="L8">Scenarios!F11</f>
        <v/>
      </c>
    </row>
    <row r="9" ht="15" customHeight="1" s="103">
      <c r="B9" s="15" t="inlineStr">
        <is>
          <t>(Y/N, 5-year horizon)</t>
        </is>
      </c>
      <c r="E9" s="15" t="inlineStr">
        <is>
          <t>(Captive vs Trad., incl. redemption)</t>
        </is>
      </c>
      <c r="H9" s="15" t="inlineStr">
        <is>
          <t>(Moderate Adverse)</t>
        </is>
      </c>
      <c r="K9" s="86" t="inlineStr">
        <is>
          <t>(Severe scenario)</t>
        </is>
      </c>
    </row>
    <row r="10" ht="15" customHeight="1" s="103">
      <c r="E10" s="20">
        <f>"excl. redemption: "&amp;TEXT(NPV_Valuation!D25,"$#,##0")</f>
        <v/>
      </c>
    </row>
    <row r="40" ht="15" customHeight="1" s="103">
      <c r="B40" s="87" t="inlineStr">
        <is>
          <t>CHART DATA (reference — do not edit)</t>
        </is>
      </c>
    </row>
    <row r="41" ht="15" customHeight="1" s="103">
      <c r="C41" s="0" t="inlineStr">
        <is>
          <t>Year 1</t>
        </is>
      </c>
      <c r="D41" s="0" t="inlineStr">
        <is>
          <t>Year 2</t>
        </is>
      </c>
      <c r="E41" s="0" t="inlineStr">
        <is>
          <t>Year 3</t>
        </is>
      </c>
      <c r="F41" s="0" t="inlineStr">
        <is>
          <t>Year 4</t>
        </is>
      </c>
      <c r="G41" s="0" t="inlineStr">
        <is>
          <t>Year 5</t>
        </is>
      </c>
    </row>
    <row r="42" ht="15" customHeight="1" s="103">
      <c r="B42" s="0" t="inlineStr">
        <is>
          <t>Trad. Cumulative Cash</t>
        </is>
      </c>
      <c r="C42" s="0">
        <f t="array" ref="C42">Traditional!C13</f>
        <v/>
      </c>
      <c r="D42" s="88">
        <f t="array" ref="D42">Traditional!D13</f>
        <v/>
      </c>
      <c r="E42" s="88">
        <f t="array" ref="E42">Traditional!E13</f>
        <v/>
      </c>
      <c r="F42" s="88">
        <f t="array" ref="F42">Traditional!F13</f>
        <v/>
      </c>
      <c r="G42" s="88">
        <f t="array" ref="G42">Traditional!G13</f>
        <v/>
      </c>
    </row>
    <row r="43" ht="15" customHeight="1" s="103">
      <c r="B43" s="0" t="inlineStr">
        <is>
          <t>Captive Cumulative Cash</t>
        </is>
      </c>
      <c r="C43" s="0">
        <f t="array" ref="C43">Captive!C46</f>
        <v/>
      </c>
      <c r="D43" s="88">
        <f t="array" ref="D43">Captive!D46</f>
        <v/>
      </c>
      <c r="E43" s="88">
        <f t="array" ref="E43">Captive!E46</f>
        <v/>
      </c>
      <c r="F43" s="88">
        <f t="array" ref="F43">Captive!F46</f>
        <v/>
      </c>
      <c r="G43" s="88">
        <f t="array" ref="G43">Captive!G46</f>
        <v/>
      </c>
    </row>
    <row r="44" ht="15" customHeight="1" s="103">
      <c r="B44" s="0" t="inlineStr">
        <is>
          <t>Trad. Economic Position</t>
        </is>
      </c>
      <c r="C44" s="0">
        <f t="array" ref="C44">Traditional!C16</f>
        <v/>
      </c>
      <c r="D44" s="88">
        <f t="array" ref="D44">Traditional!D16</f>
        <v/>
      </c>
      <c r="E44" s="88">
        <f t="array" ref="E44">Traditional!E16</f>
        <v/>
      </c>
      <c r="F44" s="88">
        <f t="array" ref="F44">Traditional!F16</f>
        <v/>
      </c>
      <c r="G44" s="88">
        <f t="array" ref="G44">Traditional!G16</f>
        <v/>
      </c>
    </row>
    <row r="45" ht="15" customHeight="1" s="103">
      <c r="B45" s="0" t="inlineStr">
        <is>
          <t>Captive Economic Position</t>
        </is>
      </c>
      <c r="C45" s="0">
        <f t="array" ref="C45">Captive!C51</f>
        <v/>
      </c>
      <c r="D45" s="88">
        <f t="array" ref="D45">Captive!D51</f>
        <v/>
      </c>
      <c r="E45" s="88">
        <f t="array" ref="E45">Captive!E51</f>
        <v/>
      </c>
      <c r="F45" s="88">
        <f t="array" ref="F45">Captive!F51</f>
        <v/>
      </c>
      <c r="G45" s="88">
        <f t="array" ref="G45">Captive!G51</f>
        <v/>
      </c>
    </row>
    <row r="46" ht="15" customHeight="1" s="103">
      <c r="B46" s="0" t="inlineStr">
        <is>
          <t>Captive Equity</t>
        </is>
      </c>
      <c r="C46" s="0">
        <f t="array" ref="C46">Captive!C37</f>
        <v/>
      </c>
      <c r="D46" s="88">
        <f t="array" ref="D46">Captive!D37</f>
        <v/>
      </c>
      <c r="E46" s="88">
        <f t="array" ref="E46">Captive!E37</f>
        <v/>
      </c>
      <c r="F46" s="88">
        <f t="array" ref="F46">Captive!F37</f>
        <v/>
      </c>
      <c r="G46" s="88">
        <f t="array" ref="G46">Captive!G37</f>
        <v/>
      </c>
    </row>
    <row r="47" ht="15" customHeight="1" s="103">
      <c r="B47" s="0" t="inlineStr">
        <is>
          <t>Trad. Annual Cash Flow</t>
        </is>
      </c>
      <c r="C47" s="0">
        <f t="array" ref="C47">Traditional!C12</f>
        <v/>
      </c>
      <c r="D47" s="88">
        <f t="array" ref="D47">Traditional!D12</f>
        <v/>
      </c>
      <c r="E47" s="88">
        <f t="array" ref="E47">Traditional!E12</f>
        <v/>
      </c>
      <c r="F47" s="88">
        <f t="array" ref="F47">Traditional!F12</f>
        <v/>
      </c>
      <c r="G47" s="88">
        <f t="array" ref="G47">Traditional!G12</f>
        <v/>
      </c>
    </row>
    <row r="48" ht="15" customHeight="1" s="103">
      <c r="B48" s="0" t="inlineStr">
        <is>
          <t>Captive Annual Cash Flow</t>
        </is>
      </c>
      <c r="C48" s="0">
        <f t="array" ref="C48">Captive!C45</f>
        <v/>
      </c>
      <c r="D48" s="88">
        <f t="array" ref="D48">Captive!D45</f>
        <v/>
      </c>
      <c r="E48" s="88">
        <f t="array" ref="E48">Captive!E45</f>
        <v/>
      </c>
      <c r="F48" s="88">
        <f t="array" ref="F48">Captive!F45</f>
        <v/>
      </c>
      <c r="G48" s="88">
        <f t="array" ref="G48">Captive!G45</f>
        <v/>
      </c>
    </row>
    <row r="57" ht="15" customHeight="1" s="103">
      <c r="B57" s="48" t="inlineStr">
        <is>
          <t>SENSITIVITY — 5-YEAR TOTAL ECONOMIC ADVANTAGE (ONE-WAY)</t>
        </is>
      </c>
      <c r="C57" s="49" t="n"/>
      <c r="D57" s="49" t="n"/>
      <c r="E57" s="49" t="n"/>
      <c r="F57" s="49" t="n"/>
      <c r="G57" s="49" t="n"/>
      <c r="H57" s="49" t="n"/>
      <c r="I57" s="48" t="inlineStr">
        <is>
          <t>SCENARIO OUTCOMES (5-YEAR)</t>
        </is>
      </c>
      <c r="J57" s="49" t="n"/>
      <c r="K57" s="49" t="n"/>
      <c r="L57" s="49" t="n"/>
      <c r="M57" s="89" t="n"/>
      <c r="N57" s="89" t="n"/>
    </row>
    <row r="58" ht="15" customHeight="1" s="103">
      <c r="B58" s="20" t="inlineStr">
        <is>
          <t>Total Economic Advantage (Captive vs Traditional, Year 5), each input flexed in isolation.</t>
        </is>
      </c>
      <c r="I58" s="20" t="inlineStr">
        <is>
          <t>Adverse loss experience is the primary risk illustration — see Scenarios tab.</t>
        </is>
      </c>
    </row>
    <row r="59" ht="15" customHeight="1" s="103">
      <c r="C59" s="90" t="inlineStr">
        <is>
          <t>−20%</t>
        </is>
      </c>
      <c r="D59" s="90" t="inlineStr">
        <is>
          <t>−10%</t>
        </is>
      </c>
      <c r="E59" s="90" t="inlineStr">
        <is>
          <t>Base</t>
        </is>
      </c>
      <c r="F59" s="90" t="inlineStr">
        <is>
          <t>+10%</t>
        </is>
      </c>
      <c r="G59" s="90" t="inlineStr">
        <is>
          <t>+20%</t>
        </is>
      </c>
      <c r="J59" s="90" t="inlineStr">
        <is>
          <t>Econ. Advantage</t>
        </is>
      </c>
      <c r="K59" s="90" t="inlineStr">
        <is>
          <t>Capital Calls</t>
        </is>
      </c>
      <c r="L59" s="90" t="inlineStr">
        <is>
          <t>% Cost Redn</t>
        </is>
      </c>
    </row>
    <row r="60" ht="15" customHeight="1" s="103">
      <c r="B60" s="17" t="inlineStr">
        <is>
          <t>Operating Expense % (combined)</t>
        </is>
      </c>
      <c r="C60" s="91">
        <f t="array" ref="C60">Sensitivity_Calc!D102</f>
        <v/>
      </c>
      <c r="D60" s="91">
        <f t="array" ref="D60">Sensitivity_Calc!E102</f>
        <v/>
      </c>
      <c r="E60" s="92">
        <f t="array" ref="E60">Sensitivity_Calc!C102</f>
        <v/>
      </c>
      <c r="F60" s="91">
        <f t="array" ref="F60">Sensitivity_Calc!F102</f>
        <v/>
      </c>
      <c r="G60" s="91">
        <f t="array" ref="G60">Sensitivity_Calc!G102</f>
        <v/>
      </c>
      <c r="I60" s="17" t="inlineStr">
        <is>
          <t>Base Case</t>
        </is>
      </c>
      <c r="J60" s="93">
        <f t="array" ref="J60">Scenarios!D13</f>
        <v/>
      </c>
      <c r="K60" s="94">
        <f t="array" ref="K60">Scenarios!D11</f>
        <v/>
      </c>
      <c r="L60" s="95">
        <f t="array" ref="L60">Scenarios!D14</f>
        <v/>
      </c>
    </row>
    <row r="61" ht="15" customHeight="1" s="103">
      <c r="B61" s="17" t="inlineStr">
        <is>
          <t>Dividend Payout Rate</t>
        </is>
      </c>
      <c r="C61" s="91">
        <f t="array" ref="C61">Sensitivity_Calc!H102</f>
        <v/>
      </c>
      <c r="D61" s="91">
        <f t="array" ref="D61">Sensitivity_Calc!I102</f>
        <v/>
      </c>
      <c r="E61" s="92">
        <f t="array" ref="E61">Sensitivity_Calc!C102</f>
        <v/>
      </c>
      <c r="F61" s="91">
        <f t="array" ref="F61">Sensitivity_Calc!J102</f>
        <v/>
      </c>
      <c r="G61" s="91">
        <f t="array" ref="G61">Sensitivity_Calc!K102</f>
        <v/>
      </c>
      <c r="I61" s="17" t="inlineStr">
        <is>
          <t>Moderate Adverse</t>
        </is>
      </c>
      <c r="J61" s="93">
        <f t="array" ref="J61">Scenarios!E13</f>
        <v/>
      </c>
      <c r="K61" s="94">
        <f t="array" ref="K61">Scenarios!E11</f>
        <v/>
      </c>
      <c r="L61" s="95">
        <f t="array" ref="L61">Scenarios!E14</f>
        <v/>
      </c>
    </row>
    <row r="62" ht="15" customHeight="1" s="103">
      <c r="B62" s="17" t="inlineStr">
        <is>
          <t>Initial Capital % of Premium</t>
        </is>
      </c>
      <c r="C62" s="91">
        <f t="array" ref="C62">Sensitivity_Calc!L102</f>
        <v/>
      </c>
      <c r="D62" s="91">
        <f t="array" ref="D62">Sensitivity_Calc!M102</f>
        <v/>
      </c>
      <c r="E62" s="92">
        <f t="array" ref="E62">Sensitivity_Calc!C102</f>
        <v/>
      </c>
      <c r="F62" s="91">
        <f t="array" ref="F62">Sensitivity_Calc!N102</f>
        <v/>
      </c>
      <c r="G62" s="91">
        <f t="array" ref="G62">Sensitivity_Calc!O102</f>
        <v/>
      </c>
      <c r="I62" s="17" t="inlineStr">
        <is>
          <t>Severe</t>
        </is>
      </c>
      <c r="J62" s="93">
        <f t="array" ref="J62">Scenarios!F13</f>
        <v/>
      </c>
      <c r="K62" s="94">
        <f t="array" ref="K62">Scenarios!F11</f>
        <v/>
      </c>
      <c r="L62" s="95">
        <f t="array" ref="L62">Scenarios!F14</f>
        <v/>
      </c>
    </row>
    <row r="63" ht="15" customHeight="1" s="103">
      <c r="B63" s="17" t="inlineStr">
        <is>
          <t>Investment Yield</t>
        </is>
      </c>
      <c r="C63" s="91">
        <f t="array" ref="C63">Sensitivity_Calc!P102</f>
        <v/>
      </c>
      <c r="D63" s="91">
        <f t="array" ref="D63">Sensitivity_Calc!Q102</f>
        <v/>
      </c>
      <c r="E63" s="92">
        <f t="array" ref="E63">Sensitivity_Calc!C102</f>
        <v/>
      </c>
      <c r="F63" s="91">
        <f t="array" ref="F63">Sensitivity_Calc!R102</f>
        <v/>
      </c>
      <c r="G63" s="91">
        <f t="array" ref="G63">Sensitivity_Calc!S102</f>
        <v/>
      </c>
    </row>
    <row r="64" ht="15" customHeight="1" s="103">
      <c r="B64" s="17" t="inlineStr">
        <is>
          <t>Loss Ratio Multiplier</t>
        </is>
      </c>
      <c r="C64" s="91">
        <f t="array" ref="C64">Sensitivity_Calc!T102</f>
        <v/>
      </c>
      <c r="D64" s="91">
        <f t="array" ref="D64">Sensitivity_Calc!U102</f>
        <v/>
      </c>
      <c r="E64" s="92">
        <f t="array" ref="E64">Sensitivity_Calc!C102</f>
        <v/>
      </c>
      <c r="F64" s="91">
        <f t="array" ref="F64">Sensitivity_Calc!V102</f>
        <v/>
      </c>
      <c r="G64" s="91">
        <f t="array" ref="G64">Sensitivity_Calc!W102</f>
        <v/>
      </c>
    </row>
    <row r="66" ht="15" customHeight="1" s="103">
      <c r="B66" s="20" t="inlineStr">
        <is>
          <t>Flex applied multiplicatively to the base input. Note: the loss-ratio flex applies to the low-loss Base Case path and therefore understates downside risk — see the Scenarios tab and Scenario Outcomes block for adverse loss experience.</t>
        </is>
      </c>
    </row>
  </sheetData>
  <pageMargins left="0.7" right="0.7" top="0.75" bottom="0.75" header="0.3" footer="0.3"/>
  <pageSetup orientation="portrait"/>
  <headerFooter>
    <oddHeader>&amp;L&amp;C&amp;R</oddHeader>
    <oddFooter>&amp;L&amp;C&amp;R</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sheetPr>
  <dimension ref="B2:W103"/>
  <sheetViews>
    <sheetView showGridLines="0" workbookViewId="0">
      <selection activeCell="A1" sqref="A1"/>
    </sheetView>
  </sheetViews>
  <sheetFormatPr baseColWidth="10" defaultColWidth="7.6640625" defaultRowHeight="15" customHeight="1"/>
  <sheetData>
    <row r="2" ht="15" customHeight="1" s="103">
      <c r="B2" s="96" t="inlineStr">
        <is>
          <t>Sensitivity Engine — one column per case (supports Dashboard sensitivity table). Do not edit.</t>
        </is>
      </c>
    </row>
    <row r="4" ht="15" customHeight="1" s="103">
      <c r="B4" s="0" t="inlineStr">
        <is>
          <t>Input Key</t>
        </is>
      </c>
      <c r="C4" s="0" t="inlineStr">
        <is>
          <t>BASE</t>
        </is>
      </c>
      <c r="D4" s="0" t="inlineStr">
        <is>
          <t>OPEX</t>
        </is>
      </c>
      <c r="E4" s="0" t="inlineStr">
        <is>
          <t>OPEX</t>
        </is>
      </c>
      <c r="F4" s="0" t="inlineStr">
        <is>
          <t>OPEX</t>
        </is>
      </c>
      <c r="G4" s="0" t="inlineStr">
        <is>
          <t>OPEX</t>
        </is>
      </c>
      <c r="H4" s="0" t="inlineStr">
        <is>
          <t>DIV</t>
        </is>
      </c>
      <c r="I4" s="0" t="inlineStr">
        <is>
          <t>DIV</t>
        </is>
      </c>
      <c r="J4" s="0" t="inlineStr">
        <is>
          <t>DIV</t>
        </is>
      </c>
      <c r="K4" s="0" t="inlineStr">
        <is>
          <t>DIV</t>
        </is>
      </c>
      <c r="L4" s="0" t="inlineStr">
        <is>
          <t>CAP</t>
        </is>
      </c>
      <c r="M4" s="0" t="inlineStr">
        <is>
          <t>CAP</t>
        </is>
      </c>
      <c r="N4" s="0" t="inlineStr">
        <is>
          <t>CAP</t>
        </is>
      </c>
      <c r="O4" s="0" t="inlineStr">
        <is>
          <t>CAP</t>
        </is>
      </c>
      <c r="P4" s="0" t="inlineStr">
        <is>
          <t>YLD</t>
        </is>
      </c>
      <c r="Q4" s="0" t="inlineStr">
        <is>
          <t>YLD</t>
        </is>
      </c>
      <c r="R4" s="0" t="inlineStr">
        <is>
          <t>YLD</t>
        </is>
      </c>
      <c r="S4" s="0" t="inlineStr">
        <is>
          <t>YLD</t>
        </is>
      </c>
      <c r="T4" s="0" t="inlineStr">
        <is>
          <t>LR</t>
        </is>
      </c>
      <c r="U4" s="0" t="inlineStr">
        <is>
          <t>LR</t>
        </is>
      </c>
      <c r="V4" s="0" t="inlineStr">
        <is>
          <t>LR</t>
        </is>
      </c>
      <c r="W4" s="0" t="inlineStr">
        <is>
          <t>LR</t>
        </is>
      </c>
    </row>
    <row r="5" ht="15" customHeight="1" s="103">
      <c r="B5" s="0" t="inlineStr">
        <is>
          <t>Factor</t>
        </is>
      </c>
      <c r="C5" s="0" t="n">
        <v>1</v>
      </c>
      <c r="D5" s="0" t="n">
        <v>0.8</v>
      </c>
      <c r="E5" s="0" t="n">
        <v>0.9</v>
      </c>
      <c r="F5" s="0" t="n">
        <v>1.1</v>
      </c>
      <c r="G5" s="0" t="n">
        <v>1.2</v>
      </c>
      <c r="H5" s="0" t="n">
        <v>0.8</v>
      </c>
      <c r="I5" s="0" t="n">
        <v>0.9</v>
      </c>
      <c r="J5" s="0" t="n">
        <v>1.1</v>
      </c>
      <c r="K5" s="0" t="n">
        <v>1.2</v>
      </c>
      <c r="L5" s="0" t="n">
        <v>0.8</v>
      </c>
      <c r="M5" s="0" t="n">
        <v>0.9</v>
      </c>
      <c r="N5" s="0" t="n">
        <v>1.1</v>
      </c>
      <c r="O5" s="0" t="n">
        <v>1.2</v>
      </c>
      <c r="P5" s="0" t="n">
        <v>0.8</v>
      </c>
      <c r="Q5" s="0" t="n">
        <v>0.9</v>
      </c>
      <c r="R5" s="0" t="n">
        <v>1.1</v>
      </c>
      <c r="S5" s="0" t="n">
        <v>1.2</v>
      </c>
      <c r="T5" s="0" t="n">
        <v>0.8</v>
      </c>
      <c r="U5" s="0" t="n">
        <v>0.9</v>
      </c>
      <c r="V5" s="0" t="n">
        <v>1.1</v>
      </c>
      <c r="W5" s="0" t="n">
        <v>1.2</v>
      </c>
    </row>
    <row r="7" ht="15" customHeight="1" s="103">
      <c r="B7" s="0" t="inlineStr">
        <is>
          <t>OpEx factor</t>
        </is>
      </c>
      <c r="C7" s="0">
        <f>IF(C$4="OPEX",C$5,1)</f>
        <v/>
      </c>
      <c r="D7" s="0">
        <f t="array" ref="D7">IF(D$4="OPEX",D$5,1)</f>
        <v/>
      </c>
      <c r="E7" s="0">
        <f t="array" ref="E7">IF(E$4="OPEX",E$5,1)</f>
        <v/>
      </c>
      <c r="F7" s="0">
        <f t="array" ref="F7">IF(F$4="OPEX",F$5,1)</f>
        <v/>
      </c>
      <c r="G7" s="0">
        <f t="array" ref="G7">IF(G$4="OPEX",G$5,1)</f>
        <v/>
      </c>
      <c r="H7" s="0">
        <f>IF(H$4="OPEX",H$5,1)</f>
        <v/>
      </c>
      <c r="I7" s="0">
        <f>IF(I$4="OPEX",I$5,1)</f>
        <v/>
      </c>
      <c r="J7" s="0">
        <f>IF(J$4="OPEX",J$5,1)</f>
        <v/>
      </c>
      <c r="K7" s="0">
        <f>IF(K$4="OPEX",K$5,1)</f>
        <v/>
      </c>
      <c r="L7" s="0">
        <f>IF(L$4="OPEX",L$5,1)</f>
        <v/>
      </c>
      <c r="M7" s="0">
        <f>IF(M$4="OPEX",M$5,1)</f>
        <v/>
      </c>
      <c r="N7" s="0">
        <f>IF(N$4="OPEX",N$5,1)</f>
        <v/>
      </c>
      <c r="O7" s="0">
        <f>IF(O$4="OPEX",O$5,1)</f>
        <v/>
      </c>
      <c r="P7" s="0">
        <f>IF(P$4="OPEX",P$5,1)</f>
        <v/>
      </c>
      <c r="Q7" s="0">
        <f>IF(Q$4="OPEX",Q$5,1)</f>
        <v/>
      </c>
      <c r="R7" s="0">
        <f>IF(R$4="OPEX",R$5,1)</f>
        <v/>
      </c>
      <c r="S7" s="0">
        <f>IF(S$4="OPEX",S$5,1)</f>
        <v/>
      </c>
      <c r="T7" s="0">
        <f>IF(T$4="OPEX",T$5,1)</f>
        <v/>
      </c>
      <c r="U7" s="0">
        <f>IF(U$4="OPEX",U$5,1)</f>
        <v/>
      </c>
      <c r="V7" s="0">
        <f>IF(V$4="OPEX",V$5,1)</f>
        <v/>
      </c>
      <c r="W7" s="0">
        <f>IF(W$4="OPEX",W$5,1)</f>
        <v/>
      </c>
    </row>
    <row r="8" ht="15" customHeight="1" s="103">
      <c r="B8" s="0" t="inlineStr">
        <is>
          <t>Dividend factor</t>
        </is>
      </c>
      <c r="C8" s="0">
        <f>IF(C$4="DIV",C$5,1)</f>
        <v/>
      </c>
      <c r="D8" s="0">
        <f>IF(D$4="DIV",D$5,1)</f>
        <v/>
      </c>
      <c r="E8" s="0">
        <f>IF(E$4="DIV",E$5,1)</f>
        <v/>
      </c>
      <c r="F8" s="0">
        <f>IF(F$4="DIV",F$5,1)</f>
        <v/>
      </c>
      <c r="G8" s="0">
        <f>IF(G$4="DIV",G$5,1)</f>
        <v/>
      </c>
      <c r="H8" s="0">
        <f t="array" ref="H8">IF(H$4="DIV",H$5,1)</f>
        <v/>
      </c>
      <c r="I8" s="0">
        <f t="array" ref="I8">IF(I$4="DIV",I$5,1)</f>
        <v/>
      </c>
      <c r="J8" s="0">
        <f t="array" ref="J8">IF(J$4="DIV",J$5,1)</f>
        <v/>
      </c>
      <c r="K8" s="0">
        <f t="array" ref="K8">IF(K$4="DIV",K$5,1)</f>
        <v/>
      </c>
      <c r="L8" s="0">
        <f>IF(L$4="DIV",L$5,1)</f>
        <v/>
      </c>
      <c r="M8" s="0">
        <f>IF(M$4="DIV",M$5,1)</f>
        <v/>
      </c>
      <c r="N8" s="0">
        <f>IF(N$4="DIV",N$5,1)</f>
        <v/>
      </c>
      <c r="O8" s="0">
        <f>IF(O$4="DIV",O$5,1)</f>
        <v/>
      </c>
      <c r="P8" s="0">
        <f>IF(P$4="DIV",P$5,1)</f>
        <v/>
      </c>
      <c r="Q8" s="0">
        <f>IF(Q$4="DIV",Q$5,1)</f>
        <v/>
      </c>
      <c r="R8" s="0">
        <f>IF(R$4="DIV",R$5,1)</f>
        <v/>
      </c>
      <c r="S8" s="0">
        <f>IF(S$4="DIV",S$5,1)</f>
        <v/>
      </c>
      <c r="T8" s="0">
        <f>IF(T$4="DIV",T$5,1)</f>
        <v/>
      </c>
      <c r="U8" s="0">
        <f>IF(U$4="DIV",U$5,1)</f>
        <v/>
      </c>
      <c r="V8" s="0">
        <f>IF(V$4="DIV",V$5,1)</f>
        <v/>
      </c>
      <c r="W8" s="0">
        <f>IF(W$4="DIV",W$5,1)</f>
        <v/>
      </c>
    </row>
    <row r="9" ht="15" customHeight="1" s="103">
      <c r="B9" s="0" t="inlineStr">
        <is>
          <t>InitCap factor</t>
        </is>
      </c>
      <c r="C9" s="0">
        <f>IF(C$4="CAP",C$5,1)</f>
        <v/>
      </c>
      <c r="D9" s="0">
        <f>IF(D$4="CAP",D$5,1)</f>
        <v/>
      </c>
      <c r="E9" s="0">
        <f>IF(E$4="CAP",E$5,1)</f>
        <v/>
      </c>
      <c r="F9" s="0">
        <f>IF(F$4="CAP",F$5,1)</f>
        <v/>
      </c>
      <c r="G9" s="0">
        <f>IF(G$4="CAP",G$5,1)</f>
        <v/>
      </c>
      <c r="H9" s="0">
        <f>IF(H$4="CAP",H$5,1)</f>
        <v/>
      </c>
      <c r="I9" s="0">
        <f>IF(I$4="CAP",I$5,1)</f>
        <v/>
      </c>
      <c r="J9" s="0">
        <f>IF(J$4="CAP",J$5,1)</f>
        <v/>
      </c>
      <c r="K9" s="0">
        <f>IF(K$4="CAP",K$5,1)</f>
        <v/>
      </c>
      <c r="L9" s="0">
        <f t="array" ref="L9">IF(L$4="CAP",L$5,1)</f>
        <v/>
      </c>
      <c r="M9" s="0">
        <f t="array" ref="M9">IF(M$4="CAP",M$5,1)</f>
        <v/>
      </c>
      <c r="N9" s="0">
        <f t="array" ref="N9">IF(N$4="CAP",N$5,1)</f>
        <v/>
      </c>
      <c r="O9" s="0">
        <f t="array" ref="O9">IF(O$4="CAP",O$5,1)</f>
        <v/>
      </c>
      <c r="P9" s="0">
        <f>IF(P$4="CAP",P$5,1)</f>
        <v/>
      </c>
      <c r="Q9" s="0">
        <f>IF(Q$4="CAP",Q$5,1)</f>
        <v/>
      </c>
      <c r="R9" s="0">
        <f>IF(R$4="CAP",R$5,1)</f>
        <v/>
      </c>
      <c r="S9" s="0">
        <f>IF(S$4="CAP",S$5,1)</f>
        <v/>
      </c>
      <c r="T9" s="0">
        <f>IF(T$4="CAP",T$5,1)</f>
        <v/>
      </c>
      <c r="U9" s="0">
        <f>IF(U$4="CAP",U$5,1)</f>
        <v/>
      </c>
      <c r="V9" s="0">
        <f>IF(V$4="CAP",V$5,1)</f>
        <v/>
      </c>
      <c r="W9" s="0">
        <f>IF(W$4="CAP",W$5,1)</f>
        <v/>
      </c>
    </row>
    <row r="10" ht="15" customHeight="1" s="103">
      <c r="B10" s="0" t="inlineStr">
        <is>
          <t>Yield factor</t>
        </is>
      </c>
      <c r="C10" s="0">
        <f>IF(C$4="YLD",C$5,1)</f>
        <v/>
      </c>
      <c r="D10" s="0">
        <f>IF(D$4="YLD",D$5,1)</f>
        <v/>
      </c>
      <c r="E10" s="0">
        <f>IF(E$4="YLD",E$5,1)</f>
        <v/>
      </c>
      <c r="F10" s="0">
        <f>IF(F$4="YLD",F$5,1)</f>
        <v/>
      </c>
      <c r="G10" s="0">
        <f>IF(G$4="YLD",G$5,1)</f>
        <v/>
      </c>
      <c r="H10" s="0">
        <f>IF(H$4="YLD",H$5,1)</f>
        <v/>
      </c>
      <c r="I10" s="0">
        <f>IF(I$4="YLD",I$5,1)</f>
        <v/>
      </c>
      <c r="J10" s="0">
        <f>IF(J$4="YLD",J$5,1)</f>
        <v/>
      </c>
      <c r="K10" s="0">
        <f>IF(K$4="YLD",K$5,1)</f>
        <v/>
      </c>
      <c r="L10" s="0">
        <f>IF(L$4="YLD",L$5,1)</f>
        <v/>
      </c>
      <c r="M10" s="0">
        <f>IF(M$4="YLD",M$5,1)</f>
        <v/>
      </c>
      <c r="N10" s="0">
        <f>IF(N$4="YLD",N$5,1)</f>
        <v/>
      </c>
      <c r="O10" s="0">
        <f>IF(O$4="YLD",O$5,1)</f>
        <v/>
      </c>
      <c r="P10" s="0">
        <f t="array" ref="P10">IF(P$4="YLD",P$5,1)</f>
        <v/>
      </c>
      <c r="Q10" s="0">
        <f t="array" ref="Q10">IF(Q$4="YLD",Q$5,1)</f>
        <v/>
      </c>
      <c r="R10" s="0">
        <f t="array" ref="R10">IF(R$4="YLD",R$5,1)</f>
        <v/>
      </c>
      <c r="S10" s="0">
        <f t="array" ref="S10">IF(S$4="YLD",S$5,1)</f>
        <v/>
      </c>
      <c r="T10" s="0">
        <f>IF(T$4="YLD",T$5,1)</f>
        <v/>
      </c>
      <c r="U10" s="0">
        <f>IF(U$4="YLD",U$5,1)</f>
        <v/>
      </c>
      <c r="V10" s="0">
        <f>IF(V$4="YLD",V$5,1)</f>
        <v/>
      </c>
      <c r="W10" s="0">
        <f>IF(W$4="YLD",W$5,1)</f>
        <v/>
      </c>
    </row>
    <row r="11" ht="15" customHeight="1" s="103">
      <c r="B11" s="0" t="inlineStr">
        <is>
          <t>LR factor</t>
        </is>
      </c>
      <c r="C11" s="0">
        <f>IF(C$4="LR",C$5,1)</f>
        <v/>
      </c>
      <c r="D11" s="0">
        <f>IF(D$4="LR",D$5,1)</f>
        <v/>
      </c>
      <c r="E11" s="0">
        <f>IF(E$4="LR",E$5,1)</f>
        <v/>
      </c>
      <c r="F11" s="0">
        <f>IF(F$4="LR",F$5,1)</f>
        <v/>
      </c>
      <c r="G11" s="0">
        <f>IF(G$4="LR",G$5,1)</f>
        <v/>
      </c>
      <c r="H11" s="0">
        <f>IF(H$4="LR",H$5,1)</f>
        <v/>
      </c>
      <c r="I11" s="0">
        <f>IF(I$4="LR",I$5,1)</f>
        <v/>
      </c>
      <c r="J11" s="0">
        <f>IF(J$4="LR",J$5,1)</f>
        <v/>
      </c>
      <c r="K11" s="0">
        <f>IF(K$4="LR",K$5,1)</f>
        <v/>
      </c>
      <c r="L11" s="0">
        <f>IF(L$4="LR",L$5,1)</f>
        <v/>
      </c>
      <c r="M11" s="0">
        <f>IF(M$4="LR",M$5,1)</f>
        <v/>
      </c>
      <c r="N11" s="0">
        <f>IF(N$4="LR",N$5,1)</f>
        <v/>
      </c>
      <c r="O11" s="0">
        <f>IF(O$4="LR",O$5,1)</f>
        <v/>
      </c>
      <c r="P11" s="0">
        <f>IF(P$4="LR",P$5,1)</f>
        <v/>
      </c>
      <c r="Q11" s="0">
        <f>IF(Q$4="LR",Q$5,1)</f>
        <v/>
      </c>
      <c r="R11" s="0">
        <f>IF(R$4="LR",R$5,1)</f>
        <v/>
      </c>
      <c r="S11" s="0">
        <f>IF(S$4="LR",S$5,1)</f>
        <v/>
      </c>
      <c r="T11" s="0">
        <f t="array" ref="T11">IF(T$4="LR",T$5,1)</f>
        <v/>
      </c>
      <c r="U11" s="0">
        <f t="array" ref="U11">IF(U$4="LR",U$5,1)</f>
        <v/>
      </c>
      <c r="V11" s="0">
        <f t="array" ref="V11">IF(V$4="LR",V$5,1)</f>
        <v/>
      </c>
      <c r="W11" s="0">
        <f t="array" ref="W11">IF(W$4="LR",W$5,1)</f>
        <v/>
      </c>
    </row>
    <row r="13" ht="15" customHeight="1" s="103">
      <c r="B13" s="0" t="inlineStr">
        <is>
          <t>Fronting Fee %</t>
        </is>
      </c>
      <c r="C13" s="0">
        <f>Assumptions!$D$20*C$7</f>
        <v/>
      </c>
      <c r="D13" s="0">
        <f>Assumptions!$D$20*D$7</f>
        <v/>
      </c>
      <c r="E13" s="0">
        <f>Assumptions!$D$20*E$7</f>
        <v/>
      </c>
      <c r="F13" s="0">
        <f>Assumptions!$D$20*F$7</f>
        <v/>
      </c>
      <c r="G13" s="0">
        <f>Assumptions!$D$20*G$7</f>
        <v/>
      </c>
      <c r="H13" s="0">
        <f>Assumptions!$D$20*H$7</f>
        <v/>
      </c>
      <c r="I13" s="0">
        <f>Assumptions!$D$20*I$7</f>
        <v/>
      </c>
      <c r="J13" s="0">
        <f>Assumptions!$D$20*J$7</f>
        <v/>
      </c>
      <c r="K13" s="0">
        <f>Assumptions!$D$20*K$7</f>
        <v/>
      </c>
      <c r="L13" s="0">
        <f>Assumptions!$D$20*L$7</f>
        <v/>
      </c>
      <c r="M13" s="0">
        <f>Assumptions!$D$20*M$7</f>
        <v/>
      </c>
      <c r="N13" s="0">
        <f>Assumptions!$D$20*N$7</f>
        <v/>
      </c>
      <c r="O13" s="0">
        <f>Assumptions!$D$20*O$7</f>
        <v/>
      </c>
      <c r="P13" s="0">
        <f>Assumptions!$D$20*P$7</f>
        <v/>
      </c>
      <c r="Q13" s="0">
        <f>Assumptions!$D$20*Q$7</f>
        <v/>
      </c>
      <c r="R13" s="0">
        <f>Assumptions!$D$20*R$7</f>
        <v/>
      </c>
      <c r="S13" s="0">
        <f>Assumptions!$D$20*S$7</f>
        <v/>
      </c>
      <c r="T13" s="0">
        <f>Assumptions!$D$20*T$7</f>
        <v/>
      </c>
      <c r="U13" s="0">
        <f>Assumptions!$D$20*U$7</f>
        <v/>
      </c>
      <c r="V13" s="0">
        <f>Assumptions!$D$20*V$7</f>
        <v/>
      </c>
      <c r="W13" s="0">
        <f>Assumptions!$D$20*W$7</f>
        <v/>
      </c>
    </row>
    <row r="14" ht="15" customHeight="1" s="103">
      <c r="B14" s="0" t="inlineStr">
        <is>
          <t>Admin Fee %</t>
        </is>
      </c>
      <c r="C14" s="0">
        <f>Assumptions!$D$21*C$7</f>
        <v/>
      </c>
      <c r="D14" s="0">
        <f>Assumptions!$D$21*D$7</f>
        <v/>
      </c>
      <c r="E14" s="0">
        <f>Assumptions!$D$21*E$7</f>
        <v/>
      </c>
      <c r="F14" s="0">
        <f>Assumptions!$D$21*F$7</f>
        <v/>
      </c>
      <c r="G14" s="0">
        <f>Assumptions!$D$21*G$7</f>
        <v/>
      </c>
      <c r="H14" s="0">
        <f>Assumptions!$D$21*H$7</f>
        <v/>
      </c>
      <c r="I14" s="0">
        <f>Assumptions!$D$21*I$7</f>
        <v/>
      </c>
      <c r="J14" s="0">
        <f>Assumptions!$D$21*J$7</f>
        <v/>
      </c>
      <c r="K14" s="0">
        <f>Assumptions!$D$21*K$7</f>
        <v/>
      </c>
      <c r="L14" s="0">
        <f>Assumptions!$D$21*L$7</f>
        <v/>
      </c>
      <c r="M14" s="0">
        <f>Assumptions!$D$21*M$7</f>
        <v/>
      </c>
      <c r="N14" s="0">
        <f>Assumptions!$D$21*N$7</f>
        <v/>
      </c>
      <c r="O14" s="0">
        <f>Assumptions!$D$21*O$7</f>
        <v/>
      </c>
      <c r="P14" s="0">
        <f>Assumptions!$D$21*P$7</f>
        <v/>
      </c>
      <c r="Q14" s="0">
        <f>Assumptions!$D$21*Q$7</f>
        <v/>
      </c>
      <c r="R14" s="0">
        <f>Assumptions!$D$21*R$7</f>
        <v/>
      </c>
      <c r="S14" s="0">
        <f>Assumptions!$D$21*S$7</f>
        <v/>
      </c>
      <c r="T14" s="0">
        <f>Assumptions!$D$21*T$7</f>
        <v/>
      </c>
      <c r="U14" s="0">
        <f>Assumptions!$D$21*U$7</f>
        <v/>
      </c>
      <c r="V14" s="0">
        <f>Assumptions!$D$21*V$7</f>
        <v/>
      </c>
      <c r="W14" s="0">
        <f>Assumptions!$D$21*W$7</f>
        <v/>
      </c>
    </row>
    <row r="15" ht="15" customHeight="1" s="103">
      <c r="B15" s="0" t="inlineStr">
        <is>
          <t>Dividend Payout</t>
        </is>
      </c>
      <c r="C15" s="0">
        <f>Assumptions!$D$42*C$8</f>
        <v/>
      </c>
      <c r="D15" s="0">
        <f>Assumptions!$D$42*D$8</f>
        <v/>
      </c>
      <c r="E15" s="0">
        <f>Assumptions!$D$42*E$8</f>
        <v/>
      </c>
      <c r="F15" s="0">
        <f>Assumptions!$D$42*F$8</f>
        <v/>
      </c>
      <c r="G15" s="0">
        <f>Assumptions!$D$42*G$8</f>
        <v/>
      </c>
      <c r="H15" s="0">
        <f>Assumptions!$D$42*H$8</f>
        <v/>
      </c>
      <c r="I15" s="0">
        <f>Assumptions!$D$42*I$8</f>
        <v/>
      </c>
      <c r="J15" s="0">
        <f>Assumptions!$D$42*J$8</f>
        <v/>
      </c>
      <c r="K15" s="0">
        <f>Assumptions!$D$42*K$8</f>
        <v/>
      </c>
      <c r="L15" s="0">
        <f>Assumptions!$D$42*L$8</f>
        <v/>
      </c>
      <c r="M15" s="0">
        <f>Assumptions!$D$42*M$8</f>
        <v/>
      </c>
      <c r="N15" s="0">
        <f>Assumptions!$D$42*N$8</f>
        <v/>
      </c>
      <c r="O15" s="0">
        <f>Assumptions!$D$42*O$8</f>
        <v/>
      </c>
      <c r="P15" s="0">
        <f>Assumptions!$D$42*P$8</f>
        <v/>
      </c>
      <c r="Q15" s="0">
        <f>Assumptions!$D$42*Q$8</f>
        <v/>
      </c>
      <c r="R15" s="0">
        <f>Assumptions!$D$42*R$8</f>
        <v/>
      </c>
      <c r="S15" s="0">
        <f>Assumptions!$D$42*S$8</f>
        <v/>
      </c>
      <c r="T15" s="0">
        <f>Assumptions!$D$42*T$8</f>
        <v/>
      </c>
      <c r="U15" s="0">
        <f>Assumptions!$D$42*U$8</f>
        <v/>
      </c>
      <c r="V15" s="0">
        <f>Assumptions!$D$42*V$8</f>
        <v/>
      </c>
      <c r="W15" s="0">
        <f>Assumptions!$D$42*W$8</f>
        <v/>
      </c>
    </row>
    <row r="16" ht="15" customHeight="1" s="103">
      <c r="B16" s="0" t="inlineStr">
        <is>
          <t>Initial Capital $</t>
        </is>
      </c>
      <c r="C16" s="0">
        <f>Assumptions!$D$39*C$9*Captive!$C$7</f>
        <v/>
      </c>
      <c r="D16" s="0">
        <f>Assumptions!$D$39*D$9*Captive!$C$7</f>
        <v/>
      </c>
      <c r="E16" s="0">
        <f>Assumptions!$D$39*E$9*Captive!$C$7</f>
        <v/>
      </c>
      <c r="F16" s="0">
        <f>Assumptions!$D$39*F$9*Captive!$C$7</f>
        <v/>
      </c>
      <c r="G16" s="0">
        <f>Assumptions!$D$39*G$9*Captive!$C$7</f>
        <v/>
      </c>
      <c r="H16" s="0">
        <f>Assumptions!$D$39*H$9*Captive!$C$7</f>
        <v/>
      </c>
      <c r="I16" s="0">
        <f>Assumptions!$D$39*I$9*Captive!$C$7</f>
        <v/>
      </c>
      <c r="J16" s="0">
        <f>Assumptions!$D$39*J$9*Captive!$C$7</f>
        <v/>
      </c>
      <c r="K16" s="0">
        <f>Assumptions!$D$39*K$9*Captive!$C$7</f>
        <v/>
      </c>
      <c r="L16" s="0">
        <f>Assumptions!$D$39*L$9*Captive!$C$7</f>
        <v/>
      </c>
      <c r="M16" s="0">
        <f>Assumptions!$D$39*M$9*Captive!$C$7</f>
        <v/>
      </c>
      <c r="N16" s="0">
        <f>Assumptions!$D$39*N$9*Captive!$C$7</f>
        <v/>
      </c>
      <c r="O16" s="0">
        <f>Assumptions!$D$39*O$9*Captive!$C$7</f>
        <v/>
      </c>
      <c r="P16" s="0">
        <f>Assumptions!$D$39*P$9*Captive!$C$7</f>
        <v/>
      </c>
      <c r="Q16" s="0">
        <f>Assumptions!$D$39*Q$9*Captive!$C$7</f>
        <v/>
      </c>
      <c r="R16" s="0">
        <f>Assumptions!$D$39*R$9*Captive!$C$7</f>
        <v/>
      </c>
      <c r="S16" s="0">
        <f>Assumptions!$D$39*S$9*Captive!$C$7</f>
        <v/>
      </c>
      <c r="T16" s="0">
        <f>Assumptions!$D$39*T$9*Captive!$C$7</f>
        <v/>
      </c>
      <c r="U16" s="0">
        <f>Assumptions!$D$39*U$9*Captive!$C$7</f>
        <v/>
      </c>
      <c r="V16" s="0">
        <f>Assumptions!$D$39*V$9*Captive!$C$7</f>
        <v/>
      </c>
      <c r="W16" s="0">
        <f>Assumptions!$D$39*W$9*Captive!$C$7</f>
        <v/>
      </c>
    </row>
    <row r="17" ht="15" customHeight="1" s="103">
      <c r="B17" s="0" t="inlineStr">
        <is>
          <t>Investment Yield</t>
        </is>
      </c>
      <c r="C17" s="0">
        <f>Assumptions!$D$41*C$10</f>
        <v/>
      </c>
      <c r="D17" s="0">
        <f>Assumptions!$D$41*D$10</f>
        <v/>
      </c>
      <c r="E17" s="0">
        <f>Assumptions!$D$41*E$10</f>
        <v/>
      </c>
      <c r="F17" s="0">
        <f>Assumptions!$D$41*F$10</f>
        <v/>
      </c>
      <c r="G17" s="0">
        <f>Assumptions!$D$41*G$10</f>
        <v/>
      </c>
      <c r="H17" s="0">
        <f>Assumptions!$D$41*H$10</f>
        <v/>
      </c>
      <c r="I17" s="0">
        <f>Assumptions!$D$41*I$10</f>
        <v/>
      </c>
      <c r="J17" s="0">
        <f>Assumptions!$D$41*J$10</f>
        <v/>
      </c>
      <c r="K17" s="0">
        <f>Assumptions!$D$41*K$10</f>
        <v/>
      </c>
      <c r="L17" s="0">
        <f>Assumptions!$D$41*L$10</f>
        <v/>
      </c>
      <c r="M17" s="0">
        <f>Assumptions!$D$41*M$10</f>
        <v/>
      </c>
      <c r="N17" s="0">
        <f>Assumptions!$D$41*N$10</f>
        <v/>
      </c>
      <c r="O17" s="0">
        <f>Assumptions!$D$41*O$10</f>
        <v/>
      </c>
      <c r="P17" s="0">
        <f>Assumptions!$D$41*P$10</f>
        <v/>
      </c>
      <c r="Q17" s="0">
        <f>Assumptions!$D$41*Q$10</f>
        <v/>
      </c>
      <c r="R17" s="0">
        <f>Assumptions!$D$41*R$10</f>
        <v/>
      </c>
      <c r="S17" s="0">
        <f>Assumptions!$D$41*S$10</f>
        <v/>
      </c>
      <c r="T17" s="0">
        <f>Assumptions!$D$41*T$10</f>
        <v/>
      </c>
      <c r="U17" s="0">
        <f>Assumptions!$D$41*U$10</f>
        <v/>
      </c>
      <c r="V17" s="0">
        <f>Assumptions!$D$41*V$10</f>
        <v/>
      </c>
      <c r="W17" s="0">
        <f>Assumptions!$D$41*W$10</f>
        <v/>
      </c>
    </row>
    <row r="20" ht="15" customHeight="1" s="103">
      <c r="B20" s="0" t="inlineStr">
        <is>
          <t>Y1 Gross Premium</t>
        </is>
      </c>
      <c r="C20" s="0">
        <f t="array" ref="C20">Captive!$C$7</f>
        <v/>
      </c>
      <c r="D20" s="0">
        <f t="array" ref="D20">Captive!$C$7</f>
        <v/>
      </c>
      <c r="E20" s="0">
        <f t="array" ref="E20">Captive!$C$7</f>
        <v/>
      </c>
      <c r="F20" s="0">
        <f t="array" ref="F20">Captive!$C$7</f>
        <v/>
      </c>
      <c r="G20" s="0">
        <f t="array" ref="G20">Captive!$C$7</f>
        <v/>
      </c>
      <c r="H20" s="0">
        <f t="array" ref="H20">Captive!$C$7</f>
        <v/>
      </c>
      <c r="I20" s="0">
        <f t="array" ref="I20">Captive!$C$7</f>
        <v/>
      </c>
      <c r="J20" s="0">
        <f t="array" ref="J20">Captive!$C$7</f>
        <v/>
      </c>
      <c r="K20" s="0">
        <f t="array" ref="K20">Captive!$C$7</f>
        <v/>
      </c>
      <c r="L20" s="0">
        <f t="array" ref="L20">Captive!$C$7</f>
        <v/>
      </c>
      <c r="M20" s="0">
        <f t="array" ref="M20">Captive!$C$7</f>
        <v/>
      </c>
      <c r="N20" s="0">
        <f t="array" ref="N20">Captive!$C$7</f>
        <v/>
      </c>
      <c r="O20" s="0">
        <f t="array" ref="O20">Captive!$C$7</f>
        <v/>
      </c>
      <c r="P20" s="0">
        <f t="array" ref="P20">Captive!$C$7</f>
        <v/>
      </c>
      <c r="Q20" s="0">
        <f t="array" ref="Q20">Captive!$C$7</f>
        <v/>
      </c>
      <c r="R20" s="0">
        <f t="array" ref="R20">Captive!$C$7</f>
        <v/>
      </c>
      <c r="S20" s="0">
        <f t="array" ref="S20">Captive!$C$7</f>
        <v/>
      </c>
      <c r="T20" s="0">
        <f t="array" ref="T20">Captive!$C$7</f>
        <v/>
      </c>
      <c r="U20" s="0">
        <f t="array" ref="U20">Captive!$C$7</f>
        <v/>
      </c>
      <c r="V20" s="0">
        <f t="array" ref="V20">Captive!$C$7</f>
        <v/>
      </c>
      <c r="W20" s="0">
        <f t="array" ref="W20">Captive!$C$7</f>
        <v/>
      </c>
    </row>
    <row r="21" ht="15" customHeight="1" s="103">
      <c r="B21" s="0" t="inlineStr">
        <is>
          <t>Y1 Net Retained Premium</t>
        </is>
      </c>
      <c r="C21" s="0">
        <f>C20*(1-Assumptions!$D$19-C$13-C$14)</f>
        <v/>
      </c>
      <c r="D21" s="0">
        <f>D20*(1-Assumptions!$D$19-D$13-D$14)</f>
        <v/>
      </c>
      <c r="E21" s="0">
        <f>E20*(1-Assumptions!$D$19-E$13-E$14)</f>
        <v/>
      </c>
      <c r="F21" s="0">
        <f>F20*(1-Assumptions!$D$19-F$13-F$14)</f>
        <v/>
      </c>
      <c r="G21" s="0">
        <f>G20*(1-Assumptions!$D$19-G$13-G$14)</f>
        <v/>
      </c>
      <c r="H21" s="0">
        <f>H20*(1-Assumptions!$D$19-H$13-H$14)</f>
        <v/>
      </c>
      <c r="I21" s="0">
        <f>I20*(1-Assumptions!$D$19-I$13-I$14)</f>
        <v/>
      </c>
      <c r="J21" s="0">
        <f>J20*(1-Assumptions!$D$19-J$13-J$14)</f>
        <v/>
      </c>
      <c r="K21" s="0">
        <f>K20*(1-Assumptions!$D$19-K$13-K$14)</f>
        <v/>
      </c>
      <c r="L21" s="0">
        <f>L20*(1-Assumptions!$D$19-L$13-L$14)</f>
        <v/>
      </c>
      <c r="M21" s="0">
        <f>M20*(1-Assumptions!$D$19-M$13-M$14)</f>
        <v/>
      </c>
      <c r="N21" s="0">
        <f>N20*(1-Assumptions!$D$19-N$13-N$14)</f>
        <v/>
      </c>
      <c r="O21" s="0">
        <f>O20*(1-Assumptions!$D$19-O$13-O$14)</f>
        <v/>
      </c>
      <c r="P21" s="0">
        <f>P20*(1-Assumptions!$D$19-P$13-P$14)</f>
        <v/>
      </c>
      <c r="Q21" s="0">
        <f>Q20*(1-Assumptions!$D$19-Q$13-Q$14)</f>
        <v/>
      </c>
      <c r="R21" s="0">
        <f>R20*(1-Assumptions!$D$19-R$13-R$14)</f>
        <v/>
      </c>
      <c r="S21" s="0">
        <f>S20*(1-Assumptions!$D$19-S$13-S$14)</f>
        <v/>
      </c>
      <c r="T21" s="0">
        <f>T20*(1-Assumptions!$D$19-T$13-T$14)</f>
        <v/>
      </c>
      <c r="U21" s="0">
        <f>U20*(1-Assumptions!$D$19-U$13-U$14)</f>
        <v/>
      </c>
      <c r="V21" s="0">
        <f>V20*(1-Assumptions!$D$19-V$13-V$14)</f>
        <v/>
      </c>
      <c r="W21" s="0">
        <f>W20*(1-Assumptions!$D$19-W$13-W$14)</f>
        <v/>
      </c>
    </row>
    <row r="22" ht="15" customHeight="1" s="103">
      <c r="B22" s="0" t="inlineStr">
        <is>
          <t>Y1 Losses Incurred</t>
        </is>
      </c>
      <c r="C22" s="0">
        <f>-C21*Assumptions!$D$31*C$11</f>
        <v/>
      </c>
      <c r="D22" s="0">
        <f>-D21*Assumptions!$D$31*D$11</f>
        <v/>
      </c>
      <c r="E22" s="0">
        <f>-E21*Assumptions!$D$31*E$11</f>
        <v/>
      </c>
      <c r="F22" s="0">
        <f>-F21*Assumptions!$D$31*F$11</f>
        <v/>
      </c>
      <c r="G22" s="0">
        <f>-G21*Assumptions!$D$31*G$11</f>
        <v/>
      </c>
      <c r="H22" s="0">
        <f>-H21*Assumptions!$D$31*H$11</f>
        <v/>
      </c>
      <c r="I22" s="0">
        <f>-I21*Assumptions!$D$31*I$11</f>
        <v/>
      </c>
      <c r="J22" s="0">
        <f>-J21*Assumptions!$D$31*J$11</f>
        <v/>
      </c>
      <c r="K22" s="0">
        <f>-K21*Assumptions!$D$31*K$11</f>
        <v/>
      </c>
      <c r="L22" s="0">
        <f>-L21*Assumptions!$D$31*L$11</f>
        <v/>
      </c>
      <c r="M22" s="0">
        <f>-M21*Assumptions!$D$31*M$11</f>
        <v/>
      </c>
      <c r="N22" s="0">
        <f>-N21*Assumptions!$D$31*N$11</f>
        <v/>
      </c>
      <c r="O22" s="0">
        <f>-O21*Assumptions!$D$31*O$11</f>
        <v/>
      </c>
      <c r="P22" s="0">
        <f>-P21*Assumptions!$D$31*P$11</f>
        <v/>
      </c>
      <c r="Q22" s="0">
        <f>-Q21*Assumptions!$D$31*Q$11</f>
        <v/>
      </c>
      <c r="R22" s="0">
        <f>-R21*Assumptions!$D$31*R$11</f>
        <v/>
      </c>
      <c r="S22" s="0">
        <f>-S21*Assumptions!$D$31*S$11</f>
        <v/>
      </c>
      <c r="T22" s="0">
        <f>-T21*Assumptions!$D$31*T$11</f>
        <v/>
      </c>
      <c r="U22" s="0">
        <f>-U21*Assumptions!$D$31*U$11</f>
        <v/>
      </c>
      <c r="V22" s="0">
        <f>-V21*Assumptions!$D$31*V$11</f>
        <v/>
      </c>
      <c r="W22" s="0">
        <f>-W21*Assumptions!$D$31*W$11</f>
        <v/>
      </c>
    </row>
    <row r="23" ht="15" customHeight="1" s="103">
      <c r="B23" s="0" t="inlineStr">
        <is>
          <t>Y1 Claims Paid</t>
        </is>
      </c>
      <c r="C23" s="0">
        <f>C22*Assumptions!$D$53</f>
        <v/>
      </c>
      <c r="D23" s="0">
        <f>D22*Assumptions!$D$53</f>
        <v/>
      </c>
      <c r="E23" s="0">
        <f>E22*Assumptions!$D$53</f>
        <v/>
      </c>
      <c r="F23" s="0">
        <f>F22*Assumptions!$D$53</f>
        <v/>
      </c>
      <c r="G23" s="0">
        <f>G22*Assumptions!$D$53</f>
        <v/>
      </c>
      <c r="H23" s="0">
        <f>H22*Assumptions!$D$53</f>
        <v/>
      </c>
      <c r="I23" s="0">
        <f>I22*Assumptions!$D$53</f>
        <v/>
      </c>
      <c r="J23" s="0">
        <f>J22*Assumptions!$D$53</f>
        <v/>
      </c>
      <c r="K23" s="0">
        <f>K22*Assumptions!$D$53</f>
        <v/>
      </c>
      <c r="L23" s="0">
        <f>L22*Assumptions!$D$53</f>
        <v/>
      </c>
      <c r="M23" s="0">
        <f>M22*Assumptions!$D$53</f>
        <v/>
      </c>
      <c r="N23" s="0">
        <f>N22*Assumptions!$D$53</f>
        <v/>
      </c>
      <c r="O23" s="0">
        <f>O22*Assumptions!$D$53</f>
        <v/>
      </c>
      <c r="P23" s="0">
        <f>P22*Assumptions!$D$53</f>
        <v/>
      </c>
      <c r="Q23" s="0">
        <f>Q22*Assumptions!$D$53</f>
        <v/>
      </c>
      <c r="R23" s="0">
        <f>R22*Assumptions!$D$53</f>
        <v/>
      </c>
      <c r="S23" s="0">
        <f>S22*Assumptions!$D$53</f>
        <v/>
      </c>
      <c r="T23" s="0">
        <f>T22*Assumptions!$D$53</f>
        <v/>
      </c>
      <c r="U23" s="0">
        <f>U22*Assumptions!$D$53</f>
        <v/>
      </c>
      <c r="V23" s="0">
        <f>V22*Assumptions!$D$53</f>
        <v/>
      </c>
      <c r="W23" s="0">
        <f>W22*Assumptions!$D$53</f>
        <v/>
      </c>
    </row>
    <row r="24" ht="15" customHeight="1" s="103">
      <c r="B24" s="0" t="inlineStr">
        <is>
          <t>Y1 Ending Loss Reserves</t>
        </is>
      </c>
      <c r="C24" s="0">
        <f>C23-C22</f>
        <v/>
      </c>
      <c r="D24" s="0">
        <f>D23-D22</f>
        <v/>
      </c>
      <c r="E24" s="0">
        <f>E23-E22</f>
        <v/>
      </c>
      <c r="F24" s="0">
        <f>F23-F22</f>
        <v/>
      </c>
      <c r="G24" s="0">
        <f>G23-G22</f>
        <v/>
      </c>
      <c r="H24" s="0">
        <f>H23-H22</f>
        <v/>
      </c>
      <c r="I24" s="0">
        <f>I23-I22</f>
        <v/>
      </c>
      <c r="J24" s="0">
        <f>J23-J22</f>
        <v/>
      </c>
      <c r="K24" s="0">
        <f>K23-K22</f>
        <v/>
      </c>
      <c r="L24" s="0">
        <f>L23-L22</f>
        <v/>
      </c>
      <c r="M24" s="0">
        <f>M23-M22</f>
        <v/>
      </c>
      <c r="N24" s="0">
        <f>N23-N22</f>
        <v/>
      </c>
      <c r="O24" s="0">
        <f>O23-O22</f>
        <v/>
      </c>
      <c r="P24" s="0">
        <f>P23-P22</f>
        <v/>
      </c>
      <c r="Q24" s="0">
        <f>Q23-Q22</f>
        <v/>
      </c>
      <c r="R24" s="0">
        <f>R23-R22</f>
        <v/>
      </c>
      <c r="S24" s="0">
        <f>S23-S22</f>
        <v/>
      </c>
      <c r="T24" s="0">
        <f>T23-T22</f>
        <v/>
      </c>
      <c r="U24" s="0">
        <f>U23-U22</f>
        <v/>
      </c>
      <c r="V24" s="0">
        <f>V23-V22</f>
        <v/>
      </c>
      <c r="W24" s="0">
        <f>W23-W22</f>
        <v/>
      </c>
    </row>
    <row r="25" ht="15" customHeight="1" s="103">
      <c r="B25" s="0" t="inlineStr">
        <is>
          <t>Y1 Beginning Equity</t>
        </is>
      </c>
      <c r="C25" s="0">
        <f t="array" ref="C25">C$16</f>
        <v/>
      </c>
      <c r="D25" s="0">
        <f t="array" ref="D25">D$16</f>
        <v/>
      </c>
      <c r="E25" s="0">
        <f t="array" ref="E25">E$16</f>
        <v/>
      </c>
      <c r="F25" s="0">
        <f t="array" ref="F25">F$16</f>
        <v/>
      </c>
      <c r="G25" s="0">
        <f t="array" ref="G25">G$16</f>
        <v/>
      </c>
      <c r="H25" s="0">
        <f t="array" ref="H25">H$16</f>
        <v/>
      </c>
      <c r="I25" s="0">
        <f t="array" ref="I25">I$16</f>
        <v/>
      </c>
      <c r="J25" s="0">
        <f t="array" ref="J25">J$16</f>
        <v/>
      </c>
      <c r="K25" s="0">
        <f t="array" ref="K25">K$16</f>
        <v/>
      </c>
      <c r="L25" s="0">
        <f t="array" ref="L25">L$16</f>
        <v/>
      </c>
      <c r="M25" s="0">
        <f t="array" ref="M25">M$16</f>
        <v/>
      </c>
      <c r="N25" s="0">
        <f t="array" ref="N25">N$16</f>
        <v/>
      </c>
      <c r="O25" s="0">
        <f t="array" ref="O25">O$16</f>
        <v/>
      </c>
      <c r="P25" s="0">
        <f t="array" ref="P25">P$16</f>
        <v/>
      </c>
      <c r="Q25" s="0">
        <f t="array" ref="Q25">Q$16</f>
        <v/>
      </c>
      <c r="R25" s="0">
        <f t="array" ref="R25">R$16</f>
        <v/>
      </c>
      <c r="S25" s="0">
        <f t="array" ref="S25">S$16</f>
        <v/>
      </c>
      <c r="T25" s="0">
        <f t="array" ref="T25">T$16</f>
        <v/>
      </c>
      <c r="U25" s="0">
        <f t="array" ref="U25">U$16</f>
        <v/>
      </c>
      <c r="V25" s="0">
        <f t="array" ref="V25">V$16</f>
        <v/>
      </c>
      <c r="W25" s="0">
        <f t="array" ref="W25">W$16</f>
        <v/>
      </c>
    </row>
    <row r="26" ht="15" customHeight="1" s="103">
      <c r="B26" s="0" t="inlineStr">
        <is>
          <t>Y1 Investment Income</t>
        </is>
      </c>
      <c r="C26" s="0">
        <f>C25*C$17</f>
        <v/>
      </c>
      <c r="D26" s="0">
        <f>D25*D$17</f>
        <v/>
      </c>
      <c r="E26" s="0">
        <f>E25*E$17</f>
        <v/>
      </c>
      <c r="F26" s="0">
        <f>F25*F$17</f>
        <v/>
      </c>
      <c r="G26" s="0">
        <f>G25*G$17</f>
        <v/>
      </c>
      <c r="H26" s="0">
        <f>H25*H$17</f>
        <v/>
      </c>
      <c r="I26" s="0">
        <f>I25*I$17</f>
        <v/>
      </c>
      <c r="J26" s="0">
        <f>J25*J$17</f>
        <v/>
      </c>
      <c r="K26" s="0">
        <f>K25*K$17</f>
        <v/>
      </c>
      <c r="L26" s="0">
        <f>L25*L$17</f>
        <v/>
      </c>
      <c r="M26" s="0">
        <f>M25*M$17</f>
        <v/>
      </c>
      <c r="N26" s="0">
        <f>N25*N$17</f>
        <v/>
      </c>
      <c r="O26" s="0">
        <f>O25*O$17</f>
        <v/>
      </c>
      <c r="P26" s="0">
        <f>P25*P$17</f>
        <v/>
      </c>
      <c r="Q26" s="0">
        <f>Q25*Q$17</f>
        <v/>
      </c>
      <c r="R26" s="0">
        <f>R25*R$17</f>
        <v/>
      </c>
      <c r="S26" s="0">
        <f>S25*S$17</f>
        <v/>
      </c>
      <c r="T26" s="0">
        <f>T25*T$17</f>
        <v/>
      </c>
      <c r="U26" s="0">
        <f>U25*U$17</f>
        <v/>
      </c>
      <c r="V26" s="0">
        <f>V25*V$17</f>
        <v/>
      </c>
      <c r="W26" s="0">
        <f>W25*W$17</f>
        <v/>
      </c>
    </row>
    <row r="27" ht="15" customHeight="1" s="103">
      <c r="B27" s="0" t="inlineStr">
        <is>
          <t>Y1 Avail Equity pre-Call/Div</t>
        </is>
      </c>
      <c r="C27" s="0">
        <f>C25+C21+C23+C26-C24</f>
        <v/>
      </c>
      <c r="D27" s="0">
        <f>D25+D21+D23+D26-D24</f>
        <v/>
      </c>
      <c r="E27" s="0">
        <f>E25+E21+E23+E26-E24</f>
        <v/>
      </c>
      <c r="F27" s="0">
        <f>F25+F21+F23+F26-F24</f>
        <v/>
      </c>
      <c r="G27" s="0">
        <f>G25+G21+G23+G26-G24</f>
        <v/>
      </c>
      <c r="H27" s="0">
        <f>H25+H21+H23+H26-H24</f>
        <v/>
      </c>
      <c r="I27" s="0">
        <f>I25+I21+I23+I26-I24</f>
        <v/>
      </c>
      <c r="J27" s="0">
        <f>J25+J21+J23+J26-J24</f>
        <v/>
      </c>
      <c r="K27" s="0">
        <f>K25+K21+K23+K26-K24</f>
        <v/>
      </c>
      <c r="L27" s="0">
        <f>L25+L21+L23+L26-L24</f>
        <v/>
      </c>
      <c r="M27" s="0">
        <f>M25+M21+M23+M26-M24</f>
        <v/>
      </c>
      <c r="N27" s="0">
        <f>N25+N21+N23+N26-N24</f>
        <v/>
      </c>
      <c r="O27" s="0">
        <f>O25+O21+O23+O26-O24</f>
        <v/>
      </c>
      <c r="P27" s="0">
        <f>P25+P21+P23+P26-P24</f>
        <v/>
      </c>
      <c r="Q27" s="0">
        <f>Q25+Q21+Q23+Q26-Q24</f>
        <v/>
      </c>
      <c r="R27" s="0">
        <f>R25+R21+R23+R26-R24</f>
        <v/>
      </c>
      <c r="S27" s="0">
        <f>S25+S21+S23+S26-S24</f>
        <v/>
      </c>
      <c r="T27" s="0">
        <f>T25+T21+T23+T26-T24</f>
        <v/>
      </c>
      <c r="U27" s="0">
        <f>U25+U21+U23+U26-U24</f>
        <v/>
      </c>
      <c r="V27" s="0">
        <f>V25+V21+V23+V26-V24</f>
        <v/>
      </c>
      <c r="W27" s="0">
        <f>W25+W21+W23+W26-W24</f>
        <v/>
      </c>
    </row>
    <row r="28" ht="15" customHeight="1" s="103">
      <c r="B28" s="0" t="inlineStr">
        <is>
          <t>Y1 Min Capital Requirement</t>
        </is>
      </c>
      <c r="C28" s="0">
        <f>Assumptions!$D$60*C37</f>
        <v/>
      </c>
      <c r="D28" s="0">
        <f>Assumptions!$D$60*D37</f>
        <v/>
      </c>
      <c r="E28" s="0">
        <f>Assumptions!$D$60*E37</f>
        <v/>
      </c>
      <c r="F28" s="0">
        <f>Assumptions!$D$60*F37</f>
        <v/>
      </c>
      <c r="G28" s="0">
        <f>Assumptions!$D$60*G37</f>
        <v/>
      </c>
      <c r="H28" s="0">
        <f>Assumptions!$D$60*H37</f>
        <v/>
      </c>
      <c r="I28" s="0">
        <f>Assumptions!$D$60*I37</f>
        <v/>
      </c>
      <c r="J28" s="0">
        <f>Assumptions!$D$60*J37</f>
        <v/>
      </c>
      <c r="K28" s="0">
        <f>Assumptions!$D$60*K37</f>
        <v/>
      </c>
      <c r="L28" s="0">
        <f>Assumptions!$D$60*L37</f>
        <v/>
      </c>
      <c r="M28" s="0">
        <f>Assumptions!$D$60*M37</f>
        <v/>
      </c>
      <c r="N28" s="0">
        <f>Assumptions!$D$60*N37</f>
        <v/>
      </c>
      <c r="O28" s="0">
        <f>Assumptions!$D$60*O37</f>
        <v/>
      </c>
      <c r="P28" s="0">
        <f>Assumptions!$D$60*P37</f>
        <v/>
      </c>
      <c r="Q28" s="0">
        <f>Assumptions!$D$60*Q37</f>
        <v/>
      </c>
      <c r="R28" s="0">
        <f>Assumptions!$D$60*R37</f>
        <v/>
      </c>
      <c r="S28" s="0">
        <f>Assumptions!$D$60*S37</f>
        <v/>
      </c>
      <c r="T28" s="0">
        <f>Assumptions!$D$60*T37</f>
        <v/>
      </c>
      <c r="U28" s="0">
        <f>Assumptions!$D$60*U37</f>
        <v/>
      </c>
      <c r="V28" s="0">
        <f>Assumptions!$D$60*V37</f>
        <v/>
      </c>
      <c r="W28" s="0">
        <f>Assumptions!$D$60*W37</f>
        <v/>
      </c>
    </row>
    <row r="29" ht="15" customHeight="1" s="103">
      <c r="B29" s="0" t="inlineStr">
        <is>
          <t>Y1 Capital Call</t>
        </is>
      </c>
      <c r="C29" s="0">
        <f>IF(Assumptions!$D$61="Yes",MAX(0,C28-C27),0)</f>
        <v/>
      </c>
      <c r="D29" s="0">
        <f>IF(Assumptions!$D$61="Yes",MAX(0,D28-D27),0)</f>
        <v/>
      </c>
      <c r="E29" s="0">
        <f>IF(Assumptions!$D$61="Yes",MAX(0,E28-E27),0)</f>
        <v/>
      </c>
      <c r="F29" s="0">
        <f>IF(Assumptions!$D$61="Yes",MAX(0,F28-F27),0)</f>
        <v/>
      </c>
      <c r="G29" s="0">
        <f>IF(Assumptions!$D$61="Yes",MAX(0,G28-G27),0)</f>
        <v/>
      </c>
      <c r="H29" s="0">
        <f>IF(Assumptions!$D$61="Yes",MAX(0,H28-H27),0)</f>
        <v/>
      </c>
      <c r="I29" s="0">
        <f>IF(Assumptions!$D$61="Yes",MAX(0,I28-I27),0)</f>
        <v/>
      </c>
      <c r="J29" s="0">
        <f>IF(Assumptions!$D$61="Yes",MAX(0,J28-J27),0)</f>
        <v/>
      </c>
      <c r="K29" s="0">
        <f>IF(Assumptions!$D$61="Yes",MAX(0,K28-K27),0)</f>
        <v/>
      </c>
      <c r="L29" s="0">
        <f>IF(Assumptions!$D$61="Yes",MAX(0,L28-L27),0)</f>
        <v/>
      </c>
      <c r="M29" s="0">
        <f>IF(Assumptions!$D$61="Yes",MAX(0,M28-M27),0)</f>
        <v/>
      </c>
      <c r="N29" s="0">
        <f>IF(Assumptions!$D$61="Yes",MAX(0,N28-N27),0)</f>
        <v/>
      </c>
      <c r="O29" s="0">
        <f>IF(Assumptions!$D$61="Yes",MAX(0,O28-O27),0)</f>
        <v/>
      </c>
      <c r="P29" s="0">
        <f>IF(Assumptions!$D$61="Yes",MAX(0,P28-P27),0)</f>
        <v/>
      </c>
      <c r="Q29" s="0">
        <f>IF(Assumptions!$D$61="Yes",MAX(0,Q28-Q27),0)</f>
        <v/>
      </c>
      <c r="R29" s="0">
        <f>IF(Assumptions!$D$61="Yes",MAX(0,R28-R27),0)</f>
        <v/>
      </c>
      <c r="S29" s="0">
        <f>IF(Assumptions!$D$61="Yes",MAX(0,S28-S27),0)</f>
        <v/>
      </c>
      <c r="T29" s="0">
        <f>IF(Assumptions!$D$61="Yes",MAX(0,T28-T27),0)</f>
        <v/>
      </c>
      <c r="U29" s="0">
        <f>IF(Assumptions!$D$61="Yes",MAX(0,U28-U27),0)</f>
        <v/>
      </c>
      <c r="V29" s="0">
        <f>IF(Assumptions!$D$61="Yes",MAX(0,V28-V27),0)</f>
        <v/>
      </c>
      <c r="W29" s="0">
        <f>IF(Assumptions!$D$61="Yes",MAX(0,W28-W27),0)</f>
        <v/>
      </c>
    </row>
    <row r="30" ht="15" customHeight="1" s="103">
      <c r="B30" s="0" t="inlineStr">
        <is>
          <t>Y1 Total Cell Income</t>
        </is>
      </c>
      <c r="C30" s="0">
        <f>C21+C22+C26</f>
        <v/>
      </c>
      <c r="D30" s="0">
        <f>D21+D22+D26</f>
        <v/>
      </c>
      <c r="E30" s="0">
        <f>E21+E22+E26</f>
        <v/>
      </c>
      <c r="F30" s="0">
        <f>F21+F22+F26</f>
        <v/>
      </c>
      <c r="G30" s="0">
        <f>G21+G22+G26</f>
        <v/>
      </c>
      <c r="H30" s="0">
        <f>H21+H22+H26</f>
        <v/>
      </c>
      <c r="I30" s="0">
        <f>I21+I22+I26</f>
        <v/>
      </c>
      <c r="J30" s="0">
        <f>J21+J22+J26</f>
        <v/>
      </c>
      <c r="K30" s="0">
        <f>K21+K22+K26</f>
        <v/>
      </c>
      <c r="L30" s="0">
        <f>L21+L22+L26</f>
        <v/>
      </c>
      <c r="M30" s="0">
        <f>M21+M22+M26</f>
        <v/>
      </c>
      <c r="N30" s="0">
        <f>N21+N22+N26</f>
        <v/>
      </c>
      <c r="O30" s="0">
        <f>O21+O22+O26</f>
        <v/>
      </c>
      <c r="P30" s="0">
        <f>P21+P22+P26</f>
        <v/>
      </c>
      <c r="Q30" s="0">
        <f>Q21+Q22+Q26</f>
        <v/>
      </c>
      <c r="R30" s="0">
        <f>R21+R22+R26</f>
        <v/>
      </c>
      <c r="S30" s="0">
        <f>S21+S22+S26</f>
        <v/>
      </c>
      <c r="T30" s="0">
        <f>T21+T22+T26</f>
        <v/>
      </c>
      <c r="U30" s="0">
        <f>U21+U22+U26</f>
        <v/>
      </c>
      <c r="V30" s="0">
        <f>V21+V22+V26</f>
        <v/>
      </c>
      <c r="W30" s="0">
        <f>W21+W22+W26</f>
        <v/>
      </c>
    </row>
    <row r="31" ht="15" customHeight="1" s="103">
      <c r="B31" s="0" t="inlineStr">
        <is>
          <t>Y1 Dividends</t>
        </is>
      </c>
      <c r="C31" s="0">
        <f>IF(C29&gt;0,0,MAX(0,MIN(C$15*MAX(0,C30),C27-C28)))</f>
        <v/>
      </c>
      <c r="D31" s="0">
        <f>IF(D29&gt;0,0,MAX(0,MIN(D$15*MAX(0,D30),D27-D28)))</f>
        <v/>
      </c>
      <c r="E31" s="0">
        <f>IF(E29&gt;0,0,MAX(0,MIN(E$15*MAX(0,E30),E27-E28)))</f>
        <v/>
      </c>
      <c r="F31" s="0">
        <f>IF(F29&gt;0,0,MAX(0,MIN(F$15*MAX(0,F30),F27-F28)))</f>
        <v/>
      </c>
      <c r="G31" s="0">
        <f>IF(G29&gt;0,0,MAX(0,MIN(G$15*MAX(0,G30),G27-G28)))</f>
        <v/>
      </c>
      <c r="H31" s="0">
        <f>IF(H29&gt;0,0,MAX(0,MIN(H$15*MAX(0,H30),H27-H28)))</f>
        <v/>
      </c>
      <c r="I31" s="0">
        <f>IF(I29&gt;0,0,MAX(0,MIN(I$15*MAX(0,I30),I27-I28)))</f>
        <v/>
      </c>
      <c r="J31" s="0">
        <f>IF(J29&gt;0,0,MAX(0,MIN(J$15*MAX(0,J30),J27-J28)))</f>
        <v/>
      </c>
      <c r="K31" s="0">
        <f>IF(K29&gt;0,0,MAX(0,MIN(K$15*MAX(0,K30),K27-K28)))</f>
        <v/>
      </c>
      <c r="L31" s="0">
        <f>IF(L29&gt;0,0,MAX(0,MIN(L$15*MAX(0,L30),L27-L28)))</f>
        <v/>
      </c>
      <c r="M31" s="0">
        <f>IF(M29&gt;0,0,MAX(0,MIN(M$15*MAX(0,M30),M27-M28)))</f>
        <v/>
      </c>
      <c r="N31" s="0">
        <f>IF(N29&gt;0,0,MAX(0,MIN(N$15*MAX(0,N30),N27-N28)))</f>
        <v/>
      </c>
      <c r="O31" s="0">
        <f>IF(O29&gt;0,0,MAX(0,MIN(O$15*MAX(0,O30),O27-O28)))</f>
        <v/>
      </c>
      <c r="P31" s="0">
        <f>IF(P29&gt;0,0,MAX(0,MIN(P$15*MAX(0,P30),P27-P28)))</f>
        <v/>
      </c>
      <c r="Q31" s="0">
        <f>IF(Q29&gt;0,0,MAX(0,MIN(Q$15*MAX(0,Q30),Q27-Q28)))</f>
        <v/>
      </c>
      <c r="R31" s="0">
        <f>IF(R29&gt;0,0,MAX(0,MIN(R$15*MAX(0,R30),R27-R28)))</f>
        <v/>
      </c>
      <c r="S31" s="0">
        <f>IF(S29&gt;0,0,MAX(0,MIN(S$15*MAX(0,S30),S27-S28)))</f>
        <v/>
      </c>
      <c r="T31" s="0">
        <f>IF(T29&gt;0,0,MAX(0,MIN(T$15*MAX(0,T30),T27-T28)))</f>
        <v/>
      </c>
      <c r="U31" s="0">
        <f>IF(U29&gt;0,0,MAX(0,MIN(U$15*MAX(0,U30),U27-U28)))</f>
        <v/>
      </c>
      <c r="V31" s="0">
        <f>IF(V29&gt;0,0,MAX(0,MIN(V$15*MAX(0,V30),V27-V28)))</f>
        <v/>
      </c>
      <c r="W31" s="0">
        <f>IF(W29&gt;0,0,MAX(0,MIN(W$15*MAX(0,W30),W27-W28)))</f>
        <v/>
      </c>
    </row>
    <row r="32" ht="15" customHeight="1" s="103">
      <c r="B32" s="0" t="inlineStr">
        <is>
          <t>Y1 Ending Equity</t>
        </is>
      </c>
      <c r="C32" s="0">
        <f>C25+C21+C23+C26+C29-C31</f>
        <v/>
      </c>
      <c r="D32" s="0">
        <f>D25+D21+D23+D26+D29-D31</f>
        <v/>
      </c>
      <c r="E32" s="0">
        <f>E25+E21+E23+E26+E29-E31</f>
        <v/>
      </c>
      <c r="F32" s="0">
        <f>F25+F21+F23+F26+F29-F31</f>
        <v/>
      </c>
      <c r="G32" s="0">
        <f>G25+G21+G23+G26+G29-G31</f>
        <v/>
      </c>
      <c r="H32" s="0">
        <f>H25+H21+H23+H26+H29-H31</f>
        <v/>
      </c>
      <c r="I32" s="0">
        <f>I25+I21+I23+I26+I29-I31</f>
        <v/>
      </c>
      <c r="J32" s="0">
        <f>J25+J21+J23+J26+J29-J31</f>
        <v/>
      </c>
      <c r="K32" s="0">
        <f>K25+K21+K23+K26+K29-K31</f>
        <v/>
      </c>
      <c r="L32" s="0">
        <f>L25+L21+L23+L26+L29-L31</f>
        <v/>
      </c>
      <c r="M32" s="0">
        <f>M25+M21+M23+M26+M29-M31</f>
        <v/>
      </c>
      <c r="N32" s="0">
        <f>N25+N21+N23+N26+N29-N31</f>
        <v/>
      </c>
      <c r="O32" s="0">
        <f>O25+O21+O23+O26+O29-O31</f>
        <v/>
      </c>
      <c r="P32" s="0">
        <f>P25+P21+P23+P26+P29-P31</f>
        <v/>
      </c>
      <c r="Q32" s="0">
        <f>Q25+Q21+Q23+Q26+Q29-Q31</f>
        <v/>
      </c>
      <c r="R32" s="0">
        <f>R25+R21+R23+R26+R29-R31</f>
        <v/>
      </c>
      <c r="S32" s="0">
        <f>S25+S21+S23+S26+S29-S31</f>
        <v/>
      </c>
      <c r="T32" s="0">
        <f>T25+T21+T23+T26+T29-T31</f>
        <v/>
      </c>
      <c r="U32" s="0">
        <f>U25+U21+U23+U26+U29-U31</f>
        <v/>
      </c>
      <c r="V32" s="0">
        <f>V25+V21+V23+V26+V29-V31</f>
        <v/>
      </c>
      <c r="W32" s="0">
        <f>W25+W21+W23+W26+W29-W31</f>
        <v/>
      </c>
    </row>
    <row r="33" ht="15" customHeight="1" s="103">
      <c r="B33" s="0" t="inlineStr">
        <is>
          <t>Y1 Available Equity</t>
        </is>
      </c>
      <c r="C33" s="0">
        <f>C32-C24</f>
        <v/>
      </c>
      <c r="D33" s="0">
        <f>D32-D24</f>
        <v/>
      </c>
      <c r="E33" s="0">
        <f>E32-E24</f>
        <v/>
      </c>
      <c r="F33" s="0">
        <f>F32-F24</f>
        <v/>
      </c>
      <c r="G33" s="0">
        <f>G32-G24</f>
        <v/>
      </c>
      <c r="H33" s="0">
        <f>H32-H24</f>
        <v/>
      </c>
      <c r="I33" s="0">
        <f>I32-I24</f>
        <v/>
      </c>
      <c r="J33" s="0">
        <f>J32-J24</f>
        <v/>
      </c>
      <c r="K33" s="0">
        <f>K32-K24</f>
        <v/>
      </c>
      <c r="L33" s="0">
        <f>L32-L24</f>
        <v/>
      </c>
      <c r="M33" s="0">
        <f>M32-M24</f>
        <v/>
      </c>
      <c r="N33" s="0">
        <f>N32-N24</f>
        <v/>
      </c>
      <c r="O33" s="0">
        <f>O32-O24</f>
        <v/>
      </c>
      <c r="P33" s="0">
        <f>P32-P24</f>
        <v/>
      </c>
      <c r="Q33" s="0">
        <f>Q32-Q24</f>
        <v/>
      </c>
      <c r="R33" s="0">
        <f>R32-R24</f>
        <v/>
      </c>
      <c r="S33" s="0">
        <f>S32-S24</f>
        <v/>
      </c>
      <c r="T33" s="0">
        <f>T32-T24</f>
        <v/>
      </c>
      <c r="U33" s="0">
        <f>U32-U24</f>
        <v/>
      </c>
      <c r="V33" s="0">
        <f>V32-V24</f>
        <v/>
      </c>
      <c r="W33" s="0">
        <f>W32-W24</f>
        <v/>
      </c>
    </row>
    <row r="34" ht="15" customHeight="1" s="103">
      <c r="B34" s="0" t="inlineStr">
        <is>
          <t>Y1 Net Annual Cash</t>
        </is>
      </c>
      <c r="C34" s="0">
        <f>-Captive!$C$7-C$16-C29+C31</f>
        <v/>
      </c>
      <c r="D34" s="0">
        <f>-Captive!$C$7-D$16-D29+D31</f>
        <v/>
      </c>
      <c r="E34" s="0">
        <f>-Captive!$C$7-E$16-E29+E31</f>
        <v/>
      </c>
      <c r="F34" s="0">
        <f>-Captive!$C$7-F$16-F29+F31</f>
        <v/>
      </c>
      <c r="G34" s="0">
        <f>-Captive!$C$7-G$16-G29+G31</f>
        <v/>
      </c>
      <c r="H34" s="0">
        <f>-Captive!$C$7-H$16-H29+H31</f>
        <v/>
      </c>
      <c r="I34" s="0">
        <f>-Captive!$C$7-I$16-I29+I31</f>
        <v/>
      </c>
      <c r="J34" s="0">
        <f>-Captive!$C$7-J$16-J29+J31</f>
        <v/>
      </c>
      <c r="K34" s="0">
        <f>-Captive!$C$7-K$16-K29+K31</f>
        <v/>
      </c>
      <c r="L34" s="0">
        <f>-Captive!$C$7-L$16-L29+L31</f>
        <v/>
      </c>
      <c r="M34" s="0">
        <f>-Captive!$C$7-M$16-M29+M31</f>
        <v/>
      </c>
      <c r="N34" s="0">
        <f>-Captive!$C$7-N$16-N29+N31</f>
        <v/>
      </c>
      <c r="O34" s="0">
        <f>-Captive!$C$7-O$16-O29+O31</f>
        <v/>
      </c>
      <c r="P34" s="0">
        <f>-Captive!$C$7-P$16-P29+P31</f>
        <v/>
      </c>
      <c r="Q34" s="0">
        <f>-Captive!$C$7-Q$16-Q29+Q31</f>
        <v/>
      </c>
      <c r="R34" s="0">
        <f>-Captive!$C$7-R$16-R29+R31</f>
        <v/>
      </c>
      <c r="S34" s="0">
        <f>-Captive!$C$7-S$16-S29+S31</f>
        <v/>
      </c>
      <c r="T34" s="0">
        <f>-Captive!$C$7-T$16-T29+T31</f>
        <v/>
      </c>
      <c r="U34" s="0">
        <f>-Captive!$C$7-U$16-U29+U31</f>
        <v/>
      </c>
      <c r="V34" s="0">
        <f>-Captive!$C$7-V$16-V29+V31</f>
        <v/>
      </c>
      <c r="W34" s="0">
        <f>-Captive!$C$7-W$16-W29+W31</f>
        <v/>
      </c>
    </row>
    <row r="35" ht="15" customHeight="1" s="103">
      <c r="B35" s="0" t="inlineStr">
        <is>
          <t>Y1 Cumulative Net Cash</t>
        </is>
      </c>
      <c r="C35" s="0">
        <f t="array" ref="C35">C34</f>
        <v/>
      </c>
      <c r="D35" s="0">
        <f t="array" ref="D35">D34</f>
        <v/>
      </c>
      <c r="E35" s="0">
        <f t="array" ref="E35">E34</f>
        <v/>
      </c>
      <c r="F35" s="0">
        <f t="array" ref="F35">F34</f>
        <v/>
      </c>
      <c r="G35" s="0">
        <f t="array" ref="G35">G34</f>
        <v/>
      </c>
      <c r="H35" s="0">
        <f t="array" ref="H35">H34</f>
        <v/>
      </c>
      <c r="I35" s="0">
        <f t="array" ref="I35">I34</f>
        <v/>
      </c>
      <c r="J35" s="0">
        <f t="array" ref="J35">J34</f>
        <v/>
      </c>
      <c r="K35" s="0">
        <f t="array" ref="K35">K34</f>
        <v/>
      </c>
      <c r="L35" s="0">
        <f t="array" ref="L35">L34</f>
        <v/>
      </c>
      <c r="M35" s="0">
        <f t="array" ref="M35">M34</f>
        <v/>
      </c>
      <c r="N35" s="0">
        <f t="array" ref="N35">N34</f>
        <v/>
      </c>
      <c r="O35" s="0">
        <f t="array" ref="O35">O34</f>
        <v/>
      </c>
      <c r="P35" s="0">
        <f t="array" ref="P35">P34</f>
        <v/>
      </c>
      <c r="Q35" s="0">
        <f t="array" ref="Q35">Q34</f>
        <v/>
      </c>
      <c r="R35" s="0">
        <f t="array" ref="R35">R34</f>
        <v/>
      </c>
      <c r="S35" s="0">
        <f t="array" ref="S35">S34</f>
        <v/>
      </c>
      <c r="T35" s="0">
        <f t="array" ref="T35">T34</f>
        <v/>
      </c>
      <c r="U35" s="0">
        <f t="array" ref="U35">U34</f>
        <v/>
      </c>
      <c r="V35" s="0">
        <f t="array" ref="V35">V34</f>
        <v/>
      </c>
      <c r="W35" s="0">
        <f t="array" ref="W35">W34</f>
        <v/>
      </c>
    </row>
    <row r="36" ht="15" customHeight="1" s="103">
      <c r="B36" s="0" t="inlineStr">
        <is>
          <t>Y2 Gross Premium</t>
        </is>
      </c>
      <c r="C36" s="0">
        <f t="array" ref="C36">Captive!$D$7</f>
        <v/>
      </c>
      <c r="D36" s="0">
        <f t="array" ref="D36">Captive!$D$7</f>
        <v/>
      </c>
      <c r="E36" s="0">
        <f t="array" ref="E36">Captive!$D$7</f>
        <v/>
      </c>
      <c r="F36" s="0">
        <f t="array" ref="F36">Captive!$D$7</f>
        <v/>
      </c>
      <c r="G36" s="0">
        <f t="array" ref="G36">Captive!$D$7</f>
        <v/>
      </c>
      <c r="H36" s="0">
        <f t="array" ref="H36">Captive!$D$7</f>
        <v/>
      </c>
      <c r="I36" s="0">
        <f t="array" ref="I36">Captive!$D$7</f>
        <v/>
      </c>
      <c r="J36" s="0">
        <f t="array" ref="J36">Captive!$D$7</f>
        <v/>
      </c>
      <c r="K36" s="0">
        <f t="array" ref="K36">Captive!$D$7</f>
        <v/>
      </c>
      <c r="L36" s="0">
        <f t="array" ref="L36">Captive!$D$7</f>
        <v/>
      </c>
      <c r="M36" s="0">
        <f t="array" ref="M36">Captive!$D$7</f>
        <v/>
      </c>
      <c r="N36" s="0">
        <f t="array" ref="N36">Captive!$D$7</f>
        <v/>
      </c>
      <c r="O36" s="0">
        <f t="array" ref="O36">Captive!$D$7</f>
        <v/>
      </c>
      <c r="P36" s="0">
        <f t="array" ref="P36">Captive!$D$7</f>
        <v/>
      </c>
      <c r="Q36" s="0">
        <f t="array" ref="Q36">Captive!$D$7</f>
        <v/>
      </c>
      <c r="R36" s="0">
        <f t="array" ref="R36">Captive!$D$7</f>
        <v/>
      </c>
      <c r="S36" s="0">
        <f t="array" ref="S36">Captive!$D$7</f>
        <v/>
      </c>
      <c r="T36" s="0">
        <f t="array" ref="T36">Captive!$D$7</f>
        <v/>
      </c>
      <c r="U36" s="0">
        <f t="array" ref="U36">Captive!$D$7</f>
        <v/>
      </c>
      <c r="V36" s="0">
        <f t="array" ref="V36">Captive!$D$7</f>
        <v/>
      </c>
      <c r="W36" s="0">
        <f t="array" ref="W36">Captive!$D$7</f>
        <v/>
      </c>
    </row>
    <row r="37" ht="15" customHeight="1" s="103">
      <c r="B37" s="0" t="inlineStr">
        <is>
          <t>Y2 Net Retained Premium</t>
        </is>
      </c>
      <c r="C37" s="0">
        <f>C36*(1-Assumptions!$D$19-C$13-C$14)</f>
        <v/>
      </c>
      <c r="D37" s="0">
        <f>D36*(1-Assumptions!$D$19-D$13-D$14)</f>
        <v/>
      </c>
      <c r="E37" s="0">
        <f>E36*(1-Assumptions!$D$19-E$13-E$14)</f>
        <v/>
      </c>
      <c r="F37" s="0">
        <f>F36*(1-Assumptions!$D$19-F$13-F$14)</f>
        <v/>
      </c>
      <c r="G37" s="0">
        <f>G36*(1-Assumptions!$D$19-G$13-G$14)</f>
        <v/>
      </c>
      <c r="H37" s="0">
        <f>H36*(1-Assumptions!$D$19-H$13-H$14)</f>
        <v/>
      </c>
      <c r="I37" s="0">
        <f>I36*(1-Assumptions!$D$19-I$13-I$14)</f>
        <v/>
      </c>
      <c r="J37" s="0">
        <f>J36*(1-Assumptions!$D$19-J$13-J$14)</f>
        <v/>
      </c>
      <c r="K37" s="0">
        <f>K36*(1-Assumptions!$D$19-K$13-K$14)</f>
        <v/>
      </c>
      <c r="L37" s="0">
        <f>L36*(1-Assumptions!$D$19-L$13-L$14)</f>
        <v/>
      </c>
      <c r="M37" s="0">
        <f>M36*(1-Assumptions!$D$19-M$13-M$14)</f>
        <v/>
      </c>
      <c r="N37" s="0">
        <f>N36*(1-Assumptions!$D$19-N$13-N$14)</f>
        <v/>
      </c>
      <c r="O37" s="0">
        <f>O36*(1-Assumptions!$D$19-O$13-O$14)</f>
        <v/>
      </c>
      <c r="P37" s="0">
        <f>P36*(1-Assumptions!$D$19-P$13-P$14)</f>
        <v/>
      </c>
      <c r="Q37" s="0">
        <f>Q36*(1-Assumptions!$D$19-Q$13-Q$14)</f>
        <v/>
      </c>
      <c r="R37" s="0">
        <f>R36*(1-Assumptions!$D$19-R$13-R$14)</f>
        <v/>
      </c>
      <c r="S37" s="0">
        <f>S36*(1-Assumptions!$D$19-S$13-S$14)</f>
        <v/>
      </c>
      <c r="T37" s="0">
        <f>T36*(1-Assumptions!$D$19-T$13-T$14)</f>
        <v/>
      </c>
      <c r="U37" s="0">
        <f>U36*(1-Assumptions!$D$19-U$13-U$14)</f>
        <v/>
      </c>
      <c r="V37" s="0">
        <f>V36*(1-Assumptions!$D$19-V$13-V$14)</f>
        <v/>
      </c>
      <c r="W37" s="0">
        <f>W36*(1-Assumptions!$D$19-W$13-W$14)</f>
        <v/>
      </c>
    </row>
    <row r="38" ht="15" customHeight="1" s="103">
      <c r="B38" s="0" t="inlineStr">
        <is>
          <t>Y2 Losses Incurred</t>
        </is>
      </c>
      <c r="C38" s="0">
        <f>-C37*Assumptions!$D$32*C$11</f>
        <v/>
      </c>
      <c r="D38" s="0">
        <f>-D37*Assumptions!$D$32*D$11</f>
        <v/>
      </c>
      <c r="E38" s="0">
        <f>-E37*Assumptions!$D$32*E$11</f>
        <v/>
      </c>
      <c r="F38" s="0">
        <f>-F37*Assumptions!$D$32*F$11</f>
        <v/>
      </c>
      <c r="G38" s="0">
        <f>-G37*Assumptions!$D$32*G$11</f>
        <v/>
      </c>
      <c r="H38" s="0">
        <f>-H37*Assumptions!$D$32*H$11</f>
        <v/>
      </c>
      <c r="I38" s="0">
        <f>-I37*Assumptions!$D$32*I$11</f>
        <v/>
      </c>
      <c r="J38" s="0">
        <f>-J37*Assumptions!$D$32*J$11</f>
        <v/>
      </c>
      <c r="K38" s="0">
        <f>-K37*Assumptions!$D$32*K$11</f>
        <v/>
      </c>
      <c r="L38" s="0">
        <f>-L37*Assumptions!$D$32*L$11</f>
        <v/>
      </c>
      <c r="M38" s="0">
        <f>-M37*Assumptions!$D$32*M$11</f>
        <v/>
      </c>
      <c r="N38" s="0">
        <f>-N37*Assumptions!$D$32*N$11</f>
        <v/>
      </c>
      <c r="O38" s="0">
        <f>-O37*Assumptions!$D$32*O$11</f>
        <v/>
      </c>
      <c r="P38" s="0">
        <f>-P37*Assumptions!$D$32*P$11</f>
        <v/>
      </c>
      <c r="Q38" s="0">
        <f>-Q37*Assumptions!$D$32*Q$11</f>
        <v/>
      </c>
      <c r="R38" s="0">
        <f>-R37*Assumptions!$D$32*R$11</f>
        <v/>
      </c>
      <c r="S38" s="0">
        <f>-S37*Assumptions!$D$32*S$11</f>
        <v/>
      </c>
      <c r="T38" s="0">
        <f>-T37*Assumptions!$D$32*T$11</f>
        <v/>
      </c>
      <c r="U38" s="0">
        <f>-U37*Assumptions!$D$32*U$11</f>
        <v/>
      </c>
      <c r="V38" s="0">
        <f>-V37*Assumptions!$D$32*V$11</f>
        <v/>
      </c>
      <c r="W38" s="0">
        <f>-W37*Assumptions!$D$32*W$11</f>
        <v/>
      </c>
    </row>
    <row r="39" ht="15" customHeight="1" s="103">
      <c r="B39" s="0" t="inlineStr">
        <is>
          <t>Y2 Claims Paid</t>
        </is>
      </c>
      <c r="C39" s="0">
        <f>C38*Assumptions!$D$53+C22*Assumptions!$D$54</f>
        <v/>
      </c>
      <c r="D39" s="0">
        <f>D38*Assumptions!$D$53+D22*Assumptions!$D$54</f>
        <v/>
      </c>
      <c r="E39" s="0">
        <f>E38*Assumptions!$D$53+E22*Assumptions!$D$54</f>
        <v/>
      </c>
      <c r="F39" s="0">
        <f>F38*Assumptions!$D$53+F22*Assumptions!$D$54</f>
        <v/>
      </c>
      <c r="G39" s="0">
        <f>G38*Assumptions!$D$53+G22*Assumptions!$D$54</f>
        <v/>
      </c>
      <c r="H39" s="0">
        <f>H38*Assumptions!$D$53+H22*Assumptions!$D$54</f>
        <v/>
      </c>
      <c r="I39" s="0">
        <f>I38*Assumptions!$D$53+I22*Assumptions!$D$54</f>
        <v/>
      </c>
      <c r="J39" s="0">
        <f>J38*Assumptions!$D$53+J22*Assumptions!$D$54</f>
        <v/>
      </c>
      <c r="K39" s="0">
        <f>K38*Assumptions!$D$53+K22*Assumptions!$D$54</f>
        <v/>
      </c>
      <c r="L39" s="0">
        <f>L38*Assumptions!$D$53+L22*Assumptions!$D$54</f>
        <v/>
      </c>
      <c r="M39" s="0">
        <f>M38*Assumptions!$D$53+M22*Assumptions!$D$54</f>
        <v/>
      </c>
      <c r="N39" s="0">
        <f>N38*Assumptions!$D$53+N22*Assumptions!$D$54</f>
        <v/>
      </c>
      <c r="O39" s="0">
        <f>O38*Assumptions!$D$53+O22*Assumptions!$D$54</f>
        <v/>
      </c>
      <c r="P39" s="0">
        <f>P38*Assumptions!$D$53+P22*Assumptions!$D$54</f>
        <v/>
      </c>
      <c r="Q39" s="0">
        <f>Q38*Assumptions!$D$53+Q22*Assumptions!$D$54</f>
        <v/>
      </c>
      <c r="R39" s="0">
        <f>R38*Assumptions!$D$53+R22*Assumptions!$D$54</f>
        <v/>
      </c>
      <c r="S39" s="0">
        <f>S38*Assumptions!$D$53+S22*Assumptions!$D$54</f>
        <v/>
      </c>
      <c r="T39" s="0">
        <f>T38*Assumptions!$D$53+T22*Assumptions!$D$54</f>
        <v/>
      </c>
      <c r="U39" s="0">
        <f>U38*Assumptions!$D$53+U22*Assumptions!$D$54</f>
        <v/>
      </c>
      <c r="V39" s="0">
        <f>V38*Assumptions!$D$53+V22*Assumptions!$D$54</f>
        <v/>
      </c>
      <c r="W39" s="0">
        <f>W38*Assumptions!$D$53+W22*Assumptions!$D$54</f>
        <v/>
      </c>
    </row>
    <row r="40" ht="15" customHeight="1" s="103">
      <c r="B40" s="0" t="inlineStr">
        <is>
          <t>Y2 Ending Loss Reserves</t>
        </is>
      </c>
      <c r="C40" s="0">
        <f>C24+C39-C38</f>
        <v/>
      </c>
      <c r="D40" s="0">
        <f>D24+D39-D38</f>
        <v/>
      </c>
      <c r="E40" s="0">
        <f>E24+E39-E38</f>
        <v/>
      </c>
      <c r="F40" s="0">
        <f>F24+F39-F38</f>
        <v/>
      </c>
      <c r="G40" s="0">
        <f>G24+G39-G38</f>
        <v/>
      </c>
      <c r="H40" s="0">
        <f>H24+H39-H38</f>
        <v/>
      </c>
      <c r="I40" s="0">
        <f>I24+I39-I38</f>
        <v/>
      </c>
      <c r="J40" s="0">
        <f>J24+J39-J38</f>
        <v/>
      </c>
      <c r="K40" s="0">
        <f>K24+K39-K38</f>
        <v/>
      </c>
      <c r="L40" s="0">
        <f>L24+L39-L38</f>
        <v/>
      </c>
      <c r="M40" s="0">
        <f>M24+M39-M38</f>
        <v/>
      </c>
      <c r="N40" s="0">
        <f>N24+N39-N38</f>
        <v/>
      </c>
      <c r="O40" s="0">
        <f>O24+O39-O38</f>
        <v/>
      </c>
      <c r="P40" s="0">
        <f>P24+P39-P38</f>
        <v/>
      </c>
      <c r="Q40" s="0">
        <f>Q24+Q39-Q38</f>
        <v/>
      </c>
      <c r="R40" s="0">
        <f>R24+R39-R38</f>
        <v/>
      </c>
      <c r="S40" s="0">
        <f>S24+S39-S38</f>
        <v/>
      </c>
      <c r="T40" s="0">
        <f>T24+T39-T38</f>
        <v/>
      </c>
      <c r="U40" s="0">
        <f>U24+U39-U38</f>
        <v/>
      </c>
      <c r="V40" s="0">
        <f>V24+V39-V38</f>
        <v/>
      </c>
      <c r="W40" s="0">
        <f>W24+W39-W38</f>
        <v/>
      </c>
    </row>
    <row r="41" ht="15" customHeight="1" s="103">
      <c r="B41" s="0" t="inlineStr">
        <is>
          <t>Y2 Beginning Equity</t>
        </is>
      </c>
      <c r="C41" s="0">
        <f t="array" ref="C41">C32</f>
        <v/>
      </c>
      <c r="D41" s="0">
        <f t="array" ref="D41">D32</f>
        <v/>
      </c>
      <c r="E41" s="0">
        <f t="array" ref="E41">E32</f>
        <v/>
      </c>
      <c r="F41" s="0">
        <f t="array" ref="F41">F32</f>
        <v/>
      </c>
      <c r="G41" s="0">
        <f t="array" ref="G41">G32</f>
        <v/>
      </c>
      <c r="H41" s="0">
        <f t="array" ref="H41">H32</f>
        <v/>
      </c>
      <c r="I41" s="0">
        <f t="array" ref="I41">I32</f>
        <v/>
      </c>
      <c r="J41" s="0">
        <f t="array" ref="J41">J32</f>
        <v/>
      </c>
      <c r="K41" s="0">
        <f t="array" ref="K41">K32</f>
        <v/>
      </c>
      <c r="L41" s="0">
        <f t="array" ref="L41">L32</f>
        <v/>
      </c>
      <c r="M41" s="0">
        <f t="array" ref="M41">M32</f>
        <v/>
      </c>
      <c r="N41" s="0">
        <f t="array" ref="N41">N32</f>
        <v/>
      </c>
      <c r="O41" s="0">
        <f t="array" ref="O41">O32</f>
        <v/>
      </c>
      <c r="P41" s="0">
        <f t="array" ref="P41">P32</f>
        <v/>
      </c>
      <c r="Q41" s="0">
        <f t="array" ref="Q41">Q32</f>
        <v/>
      </c>
      <c r="R41" s="0">
        <f t="array" ref="R41">R32</f>
        <v/>
      </c>
      <c r="S41" s="0">
        <f t="array" ref="S41">S32</f>
        <v/>
      </c>
      <c r="T41" s="0">
        <f t="array" ref="T41">T32</f>
        <v/>
      </c>
      <c r="U41" s="0">
        <f t="array" ref="U41">U32</f>
        <v/>
      </c>
      <c r="V41" s="0">
        <f t="array" ref="V41">V32</f>
        <v/>
      </c>
      <c r="W41" s="0">
        <f t="array" ref="W41">W32</f>
        <v/>
      </c>
    </row>
    <row r="42" ht="15" customHeight="1" s="103">
      <c r="B42" s="0" t="inlineStr">
        <is>
          <t>Y2 Investment Income</t>
        </is>
      </c>
      <c r="C42" s="0">
        <f>C41*C$17</f>
        <v/>
      </c>
      <c r="D42" s="0">
        <f>D41*D$17</f>
        <v/>
      </c>
      <c r="E42" s="0">
        <f>E41*E$17</f>
        <v/>
      </c>
      <c r="F42" s="0">
        <f>F41*F$17</f>
        <v/>
      </c>
      <c r="G42" s="0">
        <f>G41*G$17</f>
        <v/>
      </c>
      <c r="H42" s="0">
        <f>H41*H$17</f>
        <v/>
      </c>
      <c r="I42" s="0">
        <f>I41*I$17</f>
        <v/>
      </c>
      <c r="J42" s="0">
        <f>J41*J$17</f>
        <v/>
      </c>
      <c r="K42" s="0">
        <f>K41*K$17</f>
        <v/>
      </c>
      <c r="L42" s="0">
        <f>L41*L$17</f>
        <v/>
      </c>
      <c r="M42" s="0">
        <f>M41*M$17</f>
        <v/>
      </c>
      <c r="N42" s="0">
        <f>N41*N$17</f>
        <v/>
      </c>
      <c r="O42" s="0">
        <f>O41*O$17</f>
        <v/>
      </c>
      <c r="P42" s="0">
        <f>P41*P$17</f>
        <v/>
      </c>
      <c r="Q42" s="0">
        <f>Q41*Q$17</f>
        <v/>
      </c>
      <c r="R42" s="0">
        <f>R41*R$17</f>
        <v/>
      </c>
      <c r="S42" s="0">
        <f>S41*S$17</f>
        <v/>
      </c>
      <c r="T42" s="0">
        <f>T41*T$17</f>
        <v/>
      </c>
      <c r="U42" s="0">
        <f>U41*U$17</f>
        <v/>
      </c>
      <c r="V42" s="0">
        <f>V41*V$17</f>
        <v/>
      </c>
      <c r="W42" s="0">
        <f>W41*W$17</f>
        <v/>
      </c>
    </row>
    <row r="43" ht="15" customHeight="1" s="103">
      <c r="B43" s="0" t="inlineStr">
        <is>
          <t>Y2 Avail Equity pre-Call/Div</t>
        </is>
      </c>
      <c r="C43" s="0">
        <f>C41+C37+C39+C42-C40</f>
        <v/>
      </c>
      <c r="D43" s="0">
        <f>D41+D37+D39+D42-D40</f>
        <v/>
      </c>
      <c r="E43" s="0">
        <f>E41+E37+E39+E42-E40</f>
        <v/>
      </c>
      <c r="F43" s="0">
        <f>F41+F37+F39+F42-F40</f>
        <v/>
      </c>
      <c r="G43" s="0">
        <f>G41+G37+G39+G42-G40</f>
        <v/>
      </c>
      <c r="H43" s="0">
        <f>H41+H37+H39+H42-H40</f>
        <v/>
      </c>
      <c r="I43" s="0">
        <f>I41+I37+I39+I42-I40</f>
        <v/>
      </c>
      <c r="J43" s="0">
        <f>J41+J37+J39+J42-J40</f>
        <v/>
      </c>
      <c r="K43" s="0">
        <f>K41+K37+K39+K42-K40</f>
        <v/>
      </c>
      <c r="L43" s="0">
        <f>L41+L37+L39+L42-L40</f>
        <v/>
      </c>
      <c r="M43" s="0">
        <f>M41+M37+M39+M42-M40</f>
        <v/>
      </c>
      <c r="N43" s="0">
        <f>N41+N37+N39+N42-N40</f>
        <v/>
      </c>
      <c r="O43" s="0">
        <f>O41+O37+O39+O42-O40</f>
        <v/>
      </c>
      <c r="P43" s="0">
        <f>P41+P37+P39+P42-P40</f>
        <v/>
      </c>
      <c r="Q43" s="0">
        <f>Q41+Q37+Q39+Q42-Q40</f>
        <v/>
      </c>
      <c r="R43" s="0">
        <f>R41+R37+R39+R42-R40</f>
        <v/>
      </c>
      <c r="S43" s="0">
        <f>S41+S37+S39+S42-S40</f>
        <v/>
      </c>
      <c r="T43" s="0">
        <f>T41+T37+T39+T42-T40</f>
        <v/>
      </c>
      <c r="U43" s="0">
        <f>U41+U37+U39+U42-U40</f>
        <v/>
      </c>
      <c r="V43" s="0">
        <f>V41+V37+V39+V42-V40</f>
        <v/>
      </c>
      <c r="W43" s="0">
        <f>W41+W37+W39+W42-W40</f>
        <v/>
      </c>
    </row>
    <row r="44" ht="15" customHeight="1" s="103">
      <c r="B44" s="0" t="inlineStr">
        <is>
          <t>Y2 Min Capital Requirement</t>
        </is>
      </c>
      <c r="C44" s="0">
        <f>Assumptions!$D$60*C53</f>
        <v/>
      </c>
      <c r="D44" s="0">
        <f>Assumptions!$D$60*D53</f>
        <v/>
      </c>
      <c r="E44" s="0">
        <f>Assumptions!$D$60*E53</f>
        <v/>
      </c>
      <c r="F44" s="0">
        <f>Assumptions!$D$60*F53</f>
        <v/>
      </c>
      <c r="G44" s="0">
        <f>Assumptions!$D$60*G53</f>
        <v/>
      </c>
      <c r="H44" s="0">
        <f>Assumptions!$D$60*H53</f>
        <v/>
      </c>
      <c r="I44" s="0">
        <f>Assumptions!$D$60*I53</f>
        <v/>
      </c>
      <c r="J44" s="0">
        <f>Assumptions!$D$60*J53</f>
        <v/>
      </c>
      <c r="K44" s="0">
        <f>Assumptions!$D$60*K53</f>
        <v/>
      </c>
      <c r="L44" s="0">
        <f>Assumptions!$D$60*L53</f>
        <v/>
      </c>
      <c r="M44" s="0">
        <f>Assumptions!$D$60*M53</f>
        <v/>
      </c>
      <c r="N44" s="0">
        <f>Assumptions!$D$60*N53</f>
        <v/>
      </c>
      <c r="O44" s="0">
        <f>Assumptions!$D$60*O53</f>
        <v/>
      </c>
      <c r="P44" s="0">
        <f>Assumptions!$D$60*P53</f>
        <v/>
      </c>
      <c r="Q44" s="0">
        <f>Assumptions!$D$60*Q53</f>
        <v/>
      </c>
      <c r="R44" s="0">
        <f>Assumptions!$D$60*R53</f>
        <v/>
      </c>
      <c r="S44" s="0">
        <f>Assumptions!$D$60*S53</f>
        <v/>
      </c>
      <c r="T44" s="0">
        <f>Assumptions!$D$60*T53</f>
        <v/>
      </c>
      <c r="U44" s="0">
        <f>Assumptions!$D$60*U53</f>
        <v/>
      </c>
      <c r="V44" s="0">
        <f>Assumptions!$D$60*V53</f>
        <v/>
      </c>
      <c r="W44" s="0">
        <f>Assumptions!$D$60*W53</f>
        <v/>
      </c>
    </row>
    <row r="45" ht="15" customHeight="1" s="103">
      <c r="B45" s="0" t="inlineStr">
        <is>
          <t>Y2 Capital Call</t>
        </is>
      </c>
      <c r="C45" s="0">
        <f>IF(Assumptions!$D$61="Yes",MAX(0,C44-C43),0)</f>
        <v/>
      </c>
      <c r="D45" s="0">
        <f>IF(Assumptions!$D$61="Yes",MAX(0,D44-D43),0)</f>
        <v/>
      </c>
      <c r="E45" s="0">
        <f>IF(Assumptions!$D$61="Yes",MAX(0,E44-E43),0)</f>
        <v/>
      </c>
      <c r="F45" s="0">
        <f>IF(Assumptions!$D$61="Yes",MAX(0,F44-F43),0)</f>
        <v/>
      </c>
      <c r="G45" s="0">
        <f>IF(Assumptions!$D$61="Yes",MAX(0,G44-G43),0)</f>
        <v/>
      </c>
      <c r="H45" s="0">
        <f>IF(Assumptions!$D$61="Yes",MAX(0,H44-H43),0)</f>
        <v/>
      </c>
      <c r="I45" s="0">
        <f>IF(Assumptions!$D$61="Yes",MAX(0,I44-I43),0)</f>
        <v/>
      </c>
      <c r="J45" s="0">
        <f>IF(Assumptions!$D$61="Yes",MAX(0,J44-J43),0)</f>
        <v/>
      </c>
      <c r="K45" s="0">
        <f>IF(Assumptions!$D$61="Yes",MAX(0,K44-K43),0)</f>
        <v/>
      </c>
      <c r="L45" s="0">
        <f>IF(Assumptions!$D$61="Yes",MAX(0,L44-L43),0)</f>
        <v/>
      </c>
      <c r="M45" s="0">
        <f>IF(Assumptions!$D$61="Yes",MAX(0,M44-M43),0)</f>
        <v/>
      </c>
      <c r="N45" s="0">
        <f>IF(Assumptions!$D$61="Yes",MAX(0,N44-N43),0)</f>
        <v/>
      </c>
      <c r="O45" s="0">
        <f>IF(Assumptions!$D$61="Yes",MAX(0,O44-O43),0)</f>
        <v/>
      </c>
      <c r="P45" s="0">
        <f>IF(Assumptions!$D$61="Yes",MAX(0,P44-P43),0)</f>
        <v/>
      </c>
      <c r="Q45" s="0">
        <f>IF(Assumptions!$D$61="Yes",MAX(0,Q44-Q43),0)</f>
        <v/>
      </c>
      <c r="R45" s="0">
        <f>IF(Assumptions!$D$61="Yes",MAX(0,R44-R43),0)</f>
        <v/>
      </c>
      <c r="S45" s="0">
        <f>IF(Assumptions!$D$61="Yes",MAX(0,S44-S43),0)</f>
        <v/>
      </c>
      <c r="T45" s="0">
        <f>IF(Assumptions!$D$61="Yes",MAX(0,T44-T43),0)</f>
        <v/>
      </c>
      <c r="U45" s="0">
        <f>IF(Assumptions!$D$61="Yes",MAX(0,U44-U43),0)</f>
        <v/>
      </c>
      <c r="V45" s="0">
        <f>IF(Assumptions!$D$61="Yes",MAX(0,V44-V43),0)</f>
        <v/>
      </c>
      <c r="W45" s="0">
        <f>IF(Assumptions!$D$61="Yes",MAX(0,W44-W43),0)</f>
        <v/>
      </c>
    </row>
    <row r="46" ht="15" customHeight="1" s="103">
      <c r="B46" s="0" t="inlineStr">
        <is>
          <t>Y2 Total Cell Income</t>
        </is>
      </c>
      <c r="C46" s="0">
        <f>C37+C38+C42</f>
        <v/>
      </c>
      <c r="D46" s="0">
        <f>D37+D38+D42</f>
        <v/>
      </c>
      <c r="E46" s="0">
        <f>E37+E38+E42</f>
        <v/>
      </c>
      <c r="F46" s="0">
        <f>F37+F38+F42</f>
        <v/>
      </c>
      <c r="G46" s="0">
        <f>G37+G38+G42</f>
        <v/>
      </c>
      <c r="H46" s="0">
        <f>H37+H38+H42</f>
        <v/>
      </c>
      <c r="I46" s="0">
        <f>I37+I38+I42</f>
        <v/>
      </c>
      <c r="J46" s="0">
        <f>J37+J38+J42</f>
        <v/>
      </c>
      <c r="K46" s="0">
        <f>K37+K38+K42</f>
        <v/>
      </c>
      <c r="L46" s="0">
        <f>L37+L38+L42</f>
        <v/>
      </c>
      <c r="M46" s="0">
        <f>M37+M38+M42</f>
        <v/>
      </c>
      <c r="N46" s="0">
        <f>N37+N38+N42</f>
        <v/>
      </c>
      <c r="O46" s="0">
        <f>O37+O38+O42</f>
        <v/>
      </c>
      <c r="P46" s="0">
        <f>P37+P38+P42</f>
        <v/>
      </c>
      <c r="Q46" s="0">
        <f>Q37+Q38+Q42</f>
        <v/>
      </c>
      <c r="R46" s="0">
        <f>R37+R38+R42</f>
        <v/>
      </c>
      <c r="S46" s="0">
        <f>S37+S38+S42</f>
        <v/>
      </c>
      <c r="T46" s="0">
        <f>T37+T38+T42</f>
        <v/>
      </c>
      <c r="U46" s="0">
        <f>U37+U38+U42</f>
        <v/>
      </c>
      <c r="V46" s="0">
        <f>V37+V38+V42</f>
        <v/>
      </c>
      <c r="W46" s="0">
        <f>W37+W38+W42</f>
        <v/>
      </c>
    </row>
    <row r="47" ht="15" customHeight="1" s="103">
      <c r="B47" s="0" t="inlineStr">
        <is>
          <t>Y2 Dividends</t>
        </is>
      </c>
      <c r="C47" s="0">
        <f>IF(C45&gt;0,0,MAX(0,MIN(C$15*MAX(0,C46),C43-C44)))</f>
        <v/>
      </c>
      <c r="D47" s="0">
        <f>IF(D45&gt;0,0,MAX(0,MIN(D$15*MAX(0,D46),D43-D44)))</f>
        <v/>
      </c>
      <c r="E47" s="0">
        <f>IF(E45&gt;0,0,MAX(0,MIN(E$15*MAX(0,E46),E43-E44)))</f>
        <v/>
      </c>
      <c r="F47" s="0">
        <f>IF(F45&gt;0,0,MAX(0,MIN(F$15*MAX(0,F46),F43-F44)))</f>
        <v/>
      </c>
      <c r="G47" s="0">
        <f>IF(G45&gt;0,0,MAX(0,MIN(G$15*MAX(0,G46),G43-G44)))</f>
        <v/>
      </c>
      <c r="H47" s="0">
        <f>IF(H45&gt;0,0,MAX(0,MIN(H$15*MAX(0,H46),H43-H44)))</f>
        <v/>
      </c>
      <c r="I47" s="0">
        <f>IF(I45&gt;0,0,MAX(0,MIN(I$15*MAX(0,I46),I43-I44)))</f>
        <v/>
      </c>
      <c r="J47" s="0">
        <f>IF(J45&gt;0,0,MAX(0,MIN(J$15*MAX(0,J46),J43-J44)))</f>
        <v/>
      </c>
      <c r="K47" s="0">
        <f>IF(K45&gt;0,0,MAX(0,MIN(K$15*MAX(0,K46),K43-K44)))</f>
        <v/>
      </c>
      <c r="L47" s="0">
        <f>IF(L45&gt;0,0,MAX(0,MIN(L$15*MAX(0,L46),L43-L44)))</f>
        <v/>
      </c>
      <c r="M47" s="0">
        <f>IF(M45&gt;0,0,MAX(0,MIN(M$15*MAX(0,M46),M43-M44)))</f>
        <v/>
      </c>
      <c r="N47" s="0">
        <f>IF(N45&gt;0,0,MAX(0,MIN(N$15*MAX(0,N46),N43-N44)))</f>
        <v/>
      </c>
      <c r="O47" s="0">
        <f>IF(O45&gt;0,0,MAX(0,MIN(O$15*MAX(0,O46),O43-O44)))</f>
        <v/>
      </c>
      <c r="P47" s="0">
        <f>IF(P45&gt;0,0,MAX(0,MIN(P$15*MAX(0,P46),P43-P44)))</f>
        <v/>
      </c>
      <c r="Q47" s="0">
        <f>IF(Q45&gt;0,0,MAX(0,MIN(Q$15*MAX(0,Q46),Q43-Q44)))</f>
        <v/>
      </c>
      <c r="R47" s="0">
        <f>IF(R45&gt;0,0,MAX(0,MIN(R$15*MAX(0,R46),R43-R44)))</f>
        <v/>
      </c>
      <c r="S47" s="0">
        <f>IF(S45&gt;0,0,MAX(0,MIN(S$15*MAX(0,S46),S43-S44)))</f>
        <v/>
      </c>
      <c r="T47" s="0">
        <f>IF(T45&gt;0,0,MAX(0,MIN(T$15*MAX(0,T46),T43-T44)))</f>
        <v/>
      </c>
      <c r="U47" s="0">
        <f>IF(U45&gt;0,0,MAX(0,MIN(U$15*MAX(0,U46),U43-U44)))</f>
        <v/>
      </c>
      <c r="V47" s="0">
        <f>IF(V45&gt;0,0,MAX(0,MIN(V$15*MAX(0,V46),V43-V44)))</f>
        <v/>
      </c>
      <c r="W47" s="0">
        <f>IF(W45&gt;0,0,MAX(0,MIN(W$15*MAX(0,W46),W43-W44)))</f>
        <v/>
      </c>
    </row>
    <row r="48" ht="15" customHeight="1" s="103">
      <c r="B48" s="0" t="inlineStr">
        <is>
          <t>Y2 Ending Equity</t>
        </is>
      </c>
      <c r="C48" s="0">
        <f>C41+C37+C39+C42+C45-C47</f>
        <v/>
      </c>
      <c r="D48" s="0">
        <f>D41+D37+D39+D42+D45-D47</f>
        <v/>
      </c>
      <c r="E48" s="0">
        <f>E41+E37+E39+E42+E45-E47</f>
        <v/>
      </c>
      <c r="F48" s="0">
        <f>F41+F37+F39+F42+F45-F47</f>
        <v/>
      </c>
      <c r="G48" s="0">
        <f>G41+G37+G39+G42+G45-G47</f>
        <v/>
      </c>
      <c r="H48" s="0">
        <f>H41+H37+H39+H42+H45-H47</f>
        <v/>
      </c>
      <c r="I48" s="0">
        <f>I41+I37+I39+I42+I45-I47</f>
        <v/>
      </c>
      <c r="J48" s="0">
        <f>J41+J37+J39+J42+J45-J47</f>
        <v/>
      </c>
      <c r="K48" s="0">
        <f>K41+K37+K39+K42+K45-K47</f>
        <v/>
      </c>
      <c r="L48" s="0">
        <f>L41+L37+L39+L42+L45-L47</f>
        <v/>
      </c>
      <c r="M48" s="0">
        <f>M41+M37+M39+M42+M45-M47</f>
        <v/>
      </c>
      <c r="N48" s="0">
        <f>N41+N37+N39+N42+N45-N47</f>
        <v/>
      </c>
      <c r="O48" s="0">
        <f>O41+O37+O39+O42+O45-O47</f>
        <v/>
      </c>
      <c r="P48" s="0">
        <f>P41+P37+P39+P42+P45-P47</f>
        <v/>
      </c>
      <c r="Q48" s="0">
        <f>Q41+Q37+Q39+Q42+Q45-Q47</f>
        <v/>
      </c>
      <c r="R48" s="0">
        <f>R41+R37+R39+R42+R45-R47</f>
        <v/>
      </c>
      <c r="S48" s="0">
        <f>S41+S37+S39+S42+S45-S47</f>
        <v/>
      </c>
      <c r="T48" s="0">
        <f>T41+T37+T39+T42+T45-T47</f>
        <v/>
      </c>
      <c r="U48" s="0">
        <f>U41+U37+U39+U42+U45-U47</f>
        <v/>
      </c>
      <c r="V48" s="0">
        <f>V41+V37+V39+V42+V45-V47</f>
        <v/>
      </c>
      <c r="W48" s="0">
        <f>W41+W37+W39+W42+W45-W47</f>
        <v/>
      </c>
    </row>
    <row r="49" ht="15" customHeight="1" s="103">
      <c r="B49" s="0" t="inlineStr">
        <is>
          <t>Y2 Available Equity</t>
        </is>
      </c>
      <c r="C49" s="0">
        <f>C48-C40</f>
        <v/>
      </c>
      <c r="D49" s="0">
        <f>D48-D40</f>
        <v/>
      </c>
      <c r="E49" s="0">
        <f>E48-E40</f>
        <v/>
      </c>
      <c r="F49" s="0">
        <f>F48-F40</f>
        <v/>
      </c>
      <c r="G49" s="0">
        <f>G48-G40</f>
        <v/>
      </c>
      <c r="H49" s="0">
        <f>H48-H40</f>
        <v/>
      </c>
      <c r="I49" s="0">
        <f>I48-I40</f>
        <v/>
      </c>
      <c r="J49" s="0">
        <f>J48-J40</f>
        <v/>
      </c>
      <c r="K49" s="0">
        <f>K48-K40</f>
        <v/>
      </c>
      <c r="L49" s="0">
        <f>L48-L40</f>
        <v/>
      </c>
      <c r="M49" s="0">
        <f>M48-M40</f>
        <v/>
      </c>
      <c r="N49" s="0">
        <f>N48-N40</f>
        <v/>
      </c>
      <c r="O49" s="0">
        <f>O48-O40</f>
        <v/>
      </c>
      <c r="P49" s="0">
        <f>P48-P40</f>
        <v/>
      </c>
      <c r="Q49" s="0">
        <f>Q48-Q40</f>
        <v/>
      </c>
      <c r="R49" s="0">
        <f>R48-R40</f>
        <v/>
      </c>
      <c r="S49" s="0">
        <f>S48-S40</f>
        <v/>
      </c>
      <c r="T49" s="0">
        <f>T48-T40</f>
        <v/>
      </c>
      <c r="U49" s="0">
        <f>U48-U40</f>
        <v/>
      </c>
      <c r="V49" s="0">
        <f>V48-V40</f>
        <v/>
      </c>
      <c r="W49" s="0">
        <f>W48-W40</f>
        <v/>
      </c>
    </row>
    <row r="50" ht="15" customHeight="1" s="103">
      <c r="B50" s="0" t="inlineStr">
        <is>
          <t>Y2 Net Annual Cash</t>
        </is>
      </c>
      <c r="C50" s="0">
        <f>-Captive!$D$7-C45+C47</f>
        <v/>
      </c>
      <c r="D50" s="0">
        <f>-Captive!$D$7-D45+D47</f>
        <v/>
      </c>
      <c r="E50" s="0">
        <f>-Captive!$D$7-E45+E47</f>
        <v/>
      </c>
      <c r="F50" s="0">
        <f>-Captive!$D$7-F45+F47</f>
        <v/>
      </c>
      <c r="G50" s="0">
        <f>-Captive!$D$7-G45+G47</f>
        <v/>
      </c>
      <c r="H50" s="0">
        <f>-Captive!$D$7-H45+H47</f>
        <v/>
      </c>
      <c r="I50" s="0">
        <f>-Captive!$D$7-I45+I47</f>
        <v/>
      </c>
      <c r="J50" s="0">
        <f>-Captive!$D$7-J45+J47</f>
        <v/>
      </c>
      <c r="K50" s="0">
        <f>-Captive!$D$7-K45+K47</f>
        <v/>
      </c>
      <c r="L50" s="0">
        <f>-Captive!$D$7-L45+L47</f>
        <v/>
      </c>
      <c r="M50" s="0">
        <f>-Captive!$D$7-M45+M47</f>
        <v/>
      </c>
      <c r="N50" s="0">
        <f>-Captive!$D$7-N45+N47</f>
        <v/>
      </c>
      <c r="O50" s="0">
        <f>-Captive!$D$7-O45+O47</f>
        <v/>
      </c>
      <c r="P50" s="0">
        <f>-Captive!$D$7-P45+P47</f>
        <v/>
      </c>
      <c r="Q50" s="0">
        <f>-Captive!$D$7-Q45+Q47</f>
        <v/>
      </c>
      <c r="R50" s="0">
        <f>-Captive!$D$7-R45+R47</f>
        <v/>
      </c>
      <c r="S50" s="0">
        <f>-Captive!$D$7-S45+S47</f>
        <v/>
      </c>
      <c r="T50" s="0">
        <f>-Captive!$D$7-T45+T47</f>
        <v/>
      </c>
      <c r="U50" s="0">
        <f>-Captive!$D$7-U45+U47</f>
        <v/>
      </c>
      <c r="V50" s="0">
        <f>-Captive!$D$7-V45+V47</f>
        <v/>
      </c>
      <c r="W50" s="0">
        <f>-Captive!$D$7-W45+W47</f>
        <v/>
      </c>
    </row>
    <row r="51" ht="15" customHeight="1" s="103">
      <c r="B51" s="0" t="inlineStr">
        <is>
          <t>Y2 Cumulative Net Cash</t>
        </is>
      </c>
      <c r="C51" s="0">
        <f>C35+C50</f>
        <v/>
      </c>
      <c r="D51" s="0">
        <f>D35+D50</f>
        <v/>
      </c>
      <c r="E51" s="0">
        <f>E35+E50</f>
        <v/>
      </c>
      <c r="F51" s="0">
        <f>F35+F50</f>
        <v/>
      </c>
      <c r="G51" s="0">
        <f>G35+G50</f>
        <v/>
      </c>
      <c r="H51" s="0">
        <f>H35+H50</f>
        <v/>
      </c>
      <c r="I51" s="0">
        <f>I35+I50</f>
        <v/>
      </c>
      <c r="J51" s="0">
        <f>J35+J50</f>
        <v/>
      </c>
      <c r="K51" s="0">
        <f>K35+K50</f>
        <v/>
      </c>
      <c r="L51" s="0">
        <f>L35+L50</f>
        <v/>
      </c>
      <c r="M51" s="0">
        <f>M35+M50</f>
        <v/>
      </c>
      <c r="N51" s="0">
        <f>N35+N50</f>
        <v/>
      </c>
      <c r="O51" s="0">
        <f>O35+O50</f>
        <v/>
      </c>
      <c r="P51" s="0">
        <f>P35+P50</f>
        <v/>
      </c>
      <c r="Q51" s="0">
        <f>Q35+Q50</f>
        <v/>
      </c>
      <c r="R51" s="0">
        <f>R35+R50</f>
        <v/>
      </c>
      <c r="S51" s="0">
        <f>S35+S50</f>
        <v/>
      </c>
      <c r="T51" s="0">
        <f>T35+T50</f>
        <v/>
      </c>
      <c r="U51" s="0">
        <f>U35+U50</f>
        <v/>
      </c>
      <c r="V51" s="0">
        <f>V35+V50</f>
        <v/>
      </c>
      <c r="W51" s="0">
        <f>W35+W50</f>
        <v/>
      </c>
    </row>
    <row r="52" ht="15" customHeight="1" s="103">
      <c r="B52" s="0" t="inlineStr">
        <is>
          <t>Y3 Gross Premium</t>
        </is>
      </c>
      <c r="C52" s="0">
        <f t="array" ref="C52">Captive!$E$7</f>
        <v/>
      </c>
      <c r="D52" s="0">
        <f t="array" ref="D52">Captive!$E$7</f>
        <v/>
      </c>
      <c r="E52" s="0">
        <f t="array" ref="E52">Captive!$E$7</f>
        <v/>
      </c>
      <c r="F52" s="0">
        <f t="array" ref="F52">Captive!$E$7</f>
        <v/>
      </c>
      <c r="G52" s="0">
        <f t="array" ref="G52">Captive!$E$7</f>
        <v/>
      </c>
      <c r="H52" s="0">
        <f t="array" ref="H52">Captive!$E$7</f>
        <v/>
      </c>
      <c r="I52" s="0">
        <f t="array" ref="I52">Captive!$E$7</f>
        <v/>
      </c>
      <c r="J52" s="0">
        <f t="array" ref="J52">Captive!$E$7</f>
        <v/>
      </c>
      <c r="K52" s="0">
        <f t="array" ref="K52">Captive!$E$7</f>
        <v/>
      </c>
      <c r="L52" s="0">
        <f t="array" ref="L52">Captive!$E$7</f>
        <v/>
      </c>
      <c r="M52" s="0">
        <f t="array" ref="M52">Captive!$E$7</f>
        <v/>
      </c>
      <c r="N52" s="0">
        <f t="array" ref="N52">Captive!$E$7</f>
        <v/>
      </c>
      <c r="O52" s="0">
        <f t="array" ref="O52">Captive!$E$7</f>
        <v/>
      </c>
      <c r="P52" s="0">
        <f t="array" ref="P52">Captive!$E$7</f>
        <v/>
      </c>
      <c r="Q52" s="0">
        <f t="array" ref="Q52">Captive!$E$7</f>
        <v/>
      </c>
      <c r="R52" s="0">
        <f t="array" ref="R52">Captive!$E$7</f>
        <v/>
      </c>
      <c r="S52" s="0">
        <f t="array" ref="S52">Captive!$E$7</f>
        <v/>
      </c>
      <c r="T52" s="0">
        <f t="array" ref="T52">Captive!$E$7</f>
        <v/>
      </c>
      <c r="U52" s="0">
        <f t="array" ref="U52">Captive!$E$7</f>
        <v/>
      </c>
      <c r="V52" s="0">
        <f t="array" ref="V52">Captive!$E$7</f>
        <v/>
      </c>
      <c r="W52" s="0">
        <f t="array" ref="W52">Captive!$E$7</f>
        <v/>
      </c>
    </row>
    <row r="53" ht="15" customHeight="1" s="103">
      <c r="B53" s="0" t="inlineStr">
        <is>
          <t>Y3 Net Retained Premium</t>
        </is>
      </c>
      <c r="C53" s="0">
        <f>C52*(1-Assumptions!$D$19-C$13-C$14)</f>
        <v/>
      </c>
      <c r="D53" s="0">
        <f>D52*(1-Assumptions!$D$19-D$13-D$14)</f>
        <v/>
      </c>
      <c r="E53" s="0">
        <f>E52*(1-Assumptions!$D$19-E$13-E$14)</f>
        <v/>
      </c>
      <c r="F53" s="0">
        <f>F52*(1-Assumptions!$D$19-F$13-F$14)</f>
        <v/>
      </c>
      <c r="G53" s="0">
        <f>G52*(1-Assumptions!$D$19-G$13-G$14)</f>
        <v/>
      </c>
      <c r="H53" s="0">
        <f>H52*(1-Assumptions!$D$19-H$13-H$14)</f>
        <v/>
      </c>
      <c r="I53" s="0">
        <f>I52*(1-Assumptions!$D$19-I$13-I$14)</f>
        <v/>
      </c>
      <c r="J53" s="0">
        <f>J52*(1-Assumptions!$D$19-J$13-J$14)</f>
        <v/>
      </c>
      <c r="K53" s="0">
        <f>K52*(1-Assumptions!$D$19-K$13-K$14)</f>
        <v/>
      </c>
      <c r="L53" s="0">
        <f>L52*(1-Assumptions!$D$19-L$13-L$14)</f>
        <v/>
      </c>
      <c r="M53" s="0">
        <f>M52*(1-Assumptions!$D$19-M$13-M$14)</f>
        <v/>
      </c>
      <c r="N53" s="0">
        <f>N52*(1-Assumptions!$D$19-N$13-N$14)</f>
        <v/>
      </c>
      <c r="O53" s="0">
        <f>O52*(1-Assumptions!$D$19-O$13-O$14)</f>
        <v/>
      </c>
      <c r="P53" s="0">
        <f>P52*(1-Assumptions!$D$19-P$13-P$14)</f>
        <v/>
      </c>
      <c r="Q53" s="0">
        <f>Q52*(1-Assumptions!$D$19-Q$13-Q$14)</f>
        <v/>
      </c>
      <c r="R53" s="0">
        <f>R52*(1-Assumptions!$D$19-R$13-R$14)</f>
        <v/>
      </c>
      <c r="S53" s="0">
        <f>S52*(1-Assumptions!$D$19-S$13-S$14)</f>
        <v/>
      </c>
      <c r="T53" s="0">
        <f>T52*(1-Assumptions!$D$19-T$13-T$14)</f>
        <v/>
      </c>
      <c r="U53" s="0">
        <f>U52*(1-Assumptions!$D$19-U$13-U$14)</f>
        <v/>
      </c>
      <c r="V53" s="0">
        <f>V52*(1-Assumptions!$D$19-V$13-V$14)</f>
        <v/>
      </c>
      <c r="W53" s="0">
        <f>W52*(1-Assumptions!$D$19-W$13-W$14)</f>
        <v/>
      </c>
    </row>
    <row r="54" ht="15" customHeight="1" s="103">
      <c r="B54" s="0" t="inlineStr">
        <is>
          <t>Y3 Losses Incurred</t>
        </is>
      </c>
      <c r="C54" s="0">
        <f>-C53*Assumptions!$D$33*C$11</f>
        <v/>
      </c>
      <c r="D54" s="0">
        <f>-D53*Assumptions!$D$33*D$11</f>
        <v/>
      </c>
      <c r="E54" s="0">
        <f>-E53*Assumptions!$D$33*E$11</f>
        <v/>
      </c>
      <c r="F54" s="0">
        <f>-F53*Assumptions!$D$33*F$11</f>
        <v/>
      </c>
      <c r="G54" s="0">
        <f>-G53*Assumptions!$D$33*G$11</f>
        <v/>
      </c>
      <c r="H54" s="0">
        <f>-H53*Assumptions!$D$33*H$11</f>
        <v/>
      </c>
      <c r="I54" s="0">
        <f>-I53*Assumptions!$D$33*I$11</f>
        <v/>
      </c>
      <c r="J54" s="0">
        <f>-J53*Assumptions!$D$33*J$11</f>
        <v/>
      </c>
      <c r="K54" s="0">
        <f>-K53*Assumptions!$D$33*K$11</f>
        <v/>
      </c>
      <c r="L54" s="0">
        <f>-L53*Assumptions!$D$33*L$11</f>
        <v/>
      </c>
      <c r="M54" s="0">
        <f>-M53*Assumptions!$D$33*M$11</f>
        <v/>
      </c>
      <c r="N54" s="0">
        <f>-N53*Assumptions!$D$33*N$11</f>
        <v/>
      </c>
      <c r="O54" s="0">
        <f>-O53*Assumptions!$D$33*O$11</f>
        <v/>
      </c>
      <c r="P54" s="0">
        <f>-P53*Assumptions!$D$33*P$11</f>
        <v/>
      </c>
      <c r="Q54" s="0">
        <f>-Q53*Assumptions!$D$33*Q$11</f>
        <v/>
      </c>
      <c r="R54" s="0">
        <f>-R53*Assumptions!$D$33*R$11</f>
        <v/>
      </c>
      <c r="S54" s="0">
        <f>-S53*Assumptions!$D$33*S$11</f>
        <v/>
      </c>
      <c r="T54" s="0">
        <f>-T53*Assumptions!$D$33*T$11</f>
        <v/>
      </c>
      <c r="U54" s="0">
        <f>-U53*Assumptions!$D$33*U$11</f>
        <v/>
      </c>
      <c r="V54" s="0">
        <f>-V53*Assumptions!$D$33*V$11</f>
        <v/>
      </c>
      <c r="W54" s="0">
        <f>-W53*Assumptions!$D$33*W$11</f>
        <v/>
      </c>
    </row>
    <row r="55" ht="15" customHeight="1" s="103">
      <c r="B55" s="0" t="inlineStr">
        <is>
          <t>Y3 Claims Paid</t>
        </is>
      </c>
      <c r="C55" s="0">
        <f>C54*Assumptions!$D$53+C38*Assumptions!$D$54+C22*Assumptions!$D$55</f>
        <v/>
      </c>
      <c r="D55" s="0">
        <f>D54*Assumptions!$D$53+D38*Assumptions!$D$54+D22*Assumptions!$D$55</f>
        <v/>
      </c>
      <c r="E55" s="0">
        <f>E54*Assumptions!$D$53+E38*Assumptions!$D$54+E22*Assumptions!$D$55</f>
        <v/>
      </c>
      <c r="F55" s="0">
        <f>F54*Assumptions!$D$53+F38*Assumptions!$D$54+F22*Assumptions!$D$55</f>
        <v/>
      </c>
      <c r="G55" s="0">
        <f>G54*Assumptions!$D$53+G38*Assumptions!$D$54+G22*Assumptions!$D$55</f>
        <v/>
      </c>
      <c r="H55" s="0">
        <f>H54*Assumptions!$D$53+H38*Assumptions!$D$54+H22*Assumptions!$D$55</f>
        <v/>
      </c>
      <c r="I55" s="0">
        <f>I54*Assumptions!$D$53+I38*Assumptions!$D$54+I22*Assumptions!$D$55</f>
        <v/>
      </c>
      <c r="J55" s="0">
        <f>J54*Assumptions!$D$53+J38*Assumptions!$D$54+J22*Assumptions!$D$55</f>
        <v/>
      </c>
      <c r="K55" s="0">
        <f>K54*Assumptions!$D$53+K38*Assumptions!$D$54+K22*Assumptions!$D$55</f>
        <v/>
      </c>
      <c r="L55" s="0">
        <f>L54*Assumptions!$D$53+L38*Assumptions!$D$54+L22*Assumptions!$D$55</f>
        <v/>
      </c>
      <c r="M55" s="0">
        <f>M54*Assumptions!$D$53+M38*Assumptions!$D$54+M22*Assumptions!$D$55</f>
        <v/>
      </c>
      <c r="N55" s="0">
        <f>N54*Assumptions!$D$53+N38*Assumptions!$D$54+N22*Assumptions!$D$55</f>
        <v/>
      </c>
      <c r="O55" s="0">
        <f>O54*Assumptions!$D$53+O38*Assumptions!$D$54+O22*Assumptions!$D$55</f>
        <v/>
      </c>
      <c r="P55" s="0">
        <f>P54*Assumptions!$D$53+P38*Assumptions!$D$54+P22*Assumptions!$D$55</f>
        <v/>
      </c>
      <c r="Q55" s="0">
        <f>Q54*Assumptions!$D$53+Q38*Assumptions!$D$54+Q22*Assumptions!$D$55</f>
        <v/>
      </c>
      <c r="R55" s="0">
        <f>R54*Assumptions!$D$53+R38*Assumptions!$D$54+R22*Assumptions!$D$55</f>
        <v/>
      </c>
      <c r="S55" s="0">
        <f>S54*Assumptions!$D$53+S38*Assumptions!$D$54+S22*Assumptions!$D$55</f>
        <v/>
      </c>
      <c r="T55" s="0">
        <f>T54*Assumptions!$D$53+T38*Assumptions!$D$54+T22*Assumptions!$D$55</f>
        <v/>
      </c>
      <c r="U55" s="0">
        <f>U54*Assumptions!$D$53+U38*Assumptions!$D$54+U22*Assumptions!$D$55</f>
        <v/>
      </c>
      <c r="V55" s="0">
        <f>V54*Assumptions!$D$53+V38*Assumptions!$D$54+V22*Assumptions!$D$55</f>
        <v/>
      </c>
      <c r="W55" s="0">
        <f>W54*Assumptions!$D$53+W38*Assumptions!$D$54+W22*Assumptions!$D$55</f>
        <v/>
      </c>
    </row>
    <row r="56" ht="15" customHeight="1" s="103">
      <c r="B56" s="0" t="inlineStr">
        <is>
          <t>Y3 Ending Loss Reserves</t>
        </is>
      </c>
      <c r="C56" s="0">
        <f>C40+C55-C54</f>
        <v/>
      </c>
      <c r="D56" s="0">
        <f>D40+D55-D54</f>
        <v/>
      </c>
      <c r="E56" s="0">
        <f>E40+E55-E54</f>
        <v/>
      </c>
      <c r="F56" s="0">
        <f>F40+F55-F54</f>
        <v/>
      </c>
      <c r="G56" s="0">
        <f>G40+G55-G54</f>
        <v/>
      </c>
      <c r="H56" s="0">
        <f>H40+H55-H54</f>
        <v/>
      </c>
      <c r="I56" s="0">
        <f>I40+I55-I54</f>
        <v/>
      </c>
      <c r="J56" s="0">
        <f>J40+J55-J54</f>
        <v/>
      </c>
      <c r="K56" s="0">
        <f>K40+K55-K54</f>
        <v/>
      </c>
      <c r="L56" s="0">
        <f>L40+L55-L54</f>
        <v/>
      </c>
      <c r="M56" s="0">
        <f>M40+M55-M54</f>
        <v/>
      </c>
      <c r="N56" s="0">
        <f>N40+N55-N54</f>
        <v/>
      </c>
      <c r="O56" s="0">
        <f>O40+O55-O54</f>
        <v/>
      </c>
      <c r="P56" s="0">
        <f>P40+P55-P54</f>
        <v/>
      </c>
      <c r="Q56" s="0">
        <f>Q40+Q55-Q54</f>
        <v/>
      </c>
      <c r="R56" s="0">
        <f>R40+R55-R54</f>
        <v/>
      </c>
      <c r="S56" s="0">
        <f>S40+S55-S54</f>
        <v/>
      </c>
      <c r="T56" s="0">
        <f>T40+T55-T54</f>
        <v/>
      </c>
      <c r="U56" s="0">
        <f>U40+U55-U54</f>
        <v/>
      </c>
      <c r="V56" s="0">
        <f>V40+V55-V54</f>
        <v/>
      </c>
      <c r="W56" s="0">
        <f>W40+W55-W54</f>
        <v/>
      </c>
    </row>
    <row r="57" ht="15" customHeight="1" s="103">
      <c r="B57" s="0" t="inlineStr">
        <is>
          <t>Y3 Beginning Equity</t>
        </is>
      </c>
      <c r="C57" s="0">
        <f t="array" ref="C57">C48</f>
        <v/>
      </c>
      <c r="D57" s="0">
        <f t="array" ref="D57">D48</f>
        <v/>
      </c>
      <c r="E57" s="0">
        <f t="array" ref="E57">E48</f>
        <v/>
      </c>
      <c r="F57" s="0">
        <f t="array" ref="F57">F48</f>
        <v/>
      </c>
      <c r="G57" s="0">
        <f t="array" ref="G57">G48</f>
        <v/>
      </c>
      <c r="H57" s="0">
        <f t="array" ref="H57">H48</f>
        <v/>
      </c>
      <c r="I57" s="0">
        <f t="array" ref="I57">I48</f>
        <v/>
      </c>
      <c r="J57" s="0">
        <f t="array" ref="J57">J48</f>
        <v/>
      </c>
      <c r="K57" s="0">
        <f t="array" ref="K57">K48</f>
        <v/>
      </c>
      <c r="L57" s="0">
        <f t="array" ref="L57">L48</f>
        <v/>
      </c>
      <c r="M57" s="0">
        <f t="array" ref="M57">M48</f>
        <v/>
      </c>
      <c r="N57" s="0">
        <f t="array" ref="N57">N48</f>
        <v/>
      </c>
      <c r="O57" s="0">
        <f t="array" ref="O57">O48</f>
        <v/>
      </c>
      <c r="P57" s="0">
        <f t="array" ref="P57">P48</f>
        <v/>
      </c>
      <c r="Q57" s="0">
        <f t="array" ref="Q57">Q48</f>
        <v/>
      </c>
      <c r="R57" s="0">
        <f t="array" ref="R57">R48</f>
        <v/>
      </c>
      <c r="S57" s="0">
        <f t="array" ref="S57">S48</f>
        <v/>
      </c>
      <c r="T57" s="0">
        <f t="array" ref="T57">T48</f>
        <v/>
      </c>
      <c r="U57" s="0">
        <f t="array" ref="U57">U48</f>
        <v/>
      </c>
      <c r="V57" s="0">
        <f t="array" ref="V57">V48</f>
        <v/>
      </c>
      <c r="W57" s="0">
        <f t="array" ref="W57">W48</f>
        <v/>
      </c>
    </row>
    <row r="58" ht="15" customHeight="1" s="103">
      <c r="B58" s="0" t="inlineStr">
        <is>
          <t>Y3 Investment Income</t>
        </is>
      </c>
      <c r="C58" s="0">
        <f>C57*C$17</f>
        <v/>
      </c>
      <c r="D58" s="0">
        <f>D57*D$17</f>
        <v/>
      </c>
      <c r="E58" s="0">
        <f>E57*E$17</f>
        <v/>
      </c>
      <c r="F58" s="0">
        <f>F57*F$17</f>
        <v/>
      </c>
      <c r="G58" s="0">
        <f>G57*G$17</f>
        <v/>
      </c>
      <c r="H58" s="0">
        <f>H57*H$17</f>
        <v/>
      </c>
      <c r="I58" s="0">
        <f>I57*I$17</f>
        <v/>
      </c>
      <c r="J58" s="0">
        <f>J57*J$17</f>
        <v/>
      </c>
      <c r="K58" s="0">
        <f>K57*K$17</f>
        <v/>
      </c>
      <c r="L58" s="0">
        <f>L57*L$17</f>
        <v/>
      </c>
      <c r="M58" s="0">
        <f>M57*M$17</f>
        <v/>
      </c>
      <c r="N58" s="0">
        <f>N57*N$17</f>
        <v/>
      </c>
      <c r="O58" s="0">
        <f>O57*O$17</f>
        <v/>
      </c>
      <c r="P58" s="0">
        <f>P57*P$17</f>
        <v/>
      </c>
      <c r="Q58" s="0">
        <f>Q57*Q$17</f>
        <v/>
      </c>
      <c r="R58" s="0">
        <f>R57*R$17</f>
        <v/>
      </c>
      <c r="S58" s="0">
        <f>S57*S$17</f>
        <v/>
      </c>
      <c r="T58" s="0">
        <f>T57*T$17</f>
        <v/>
      </c>
      <c r="U58" s="0">
        <f>U57*U$17</f>
        <v/>
      </c>
      <c r="V58" s="0">
        <f>V57*V$17</f>
        <v/>
      </c>
      <c r="W58" s="0">
        <f>W57*W$17</f>
        <v/>
      </c>
    </row>
    <row r="59" ht="15" customHeight="1" s="103">
      <c r="B59" s="0" t="inlineStr">
        <is>
          <t>Y3 Avail Equity pre-Call/Div</t>
        </is>
      </c>
      <c r="C59" s="0">
        <f>C57+C53+C55+C58-C56</f>
        <v/>
      </c>
      <c r="D59" s="0">
        <f>D57+D53+D55+D58-D56</f>
        <v/>
      </c>
      <c r="E59" s="0">
        <f>E57+E53+E55+E58-E56</f>
        <v/>
      </c>
      <c r="F59" s="0">
        <f>F57+F53+F55+F58-F56</f>
        <v/>
      </c>
      <c r="G59" s="0">
        <f>G57+G53+G55+G58-G56</f>
        <v/>
      </c>
      <c r="H59" s="0">
        <f>H57+H53+H55+H58-H56</f>
        <v/>
      </c>
      <c r="I59" s="0">
        <f>I57+I53+I55+I58-I56</f>
        <v/>
      </c>
      <c r="J59" s="0">
        <f>J57+J53+J55+J58-J56</f>
        <v/>
      </c>
      <c r="K59" s="0">
        <f>K57+K53+K55+K58-K56</f>
        <v/>
      </c>
      <c r="L59" s="0">
        <f>L57+L53+L55+L58-L56</f>
        <v/>
      </c>
      <c r="M59" s="0">
        <f>M57+M53+M55+M58-M56</f>
        <v/>
      </c>
      <c r="N59" s="0">
        <f>N57+N53+N55+N58-N56</f>
        <v/>
      </c>
      <c r="O59" s="0">
        <f>O57+O53+O55+O58-O56</f>
        <v/>
      </c>
      <c r="P59" s="0">
        <f>P57+P53+P55+P58-P56</f>
        <v/>
      </c>
      <c r="Q59" s="0">
        <f>Q57+Q53+Q55+Q58-Q56</f>
        <v/>
      </c>
      <c r="R59" s="0">
        <f>R57+R53+R55+R58-R56</f>
        <v/>
      </c>
      <c r="S59" s="0">
        <f>S57+S53+S55+S58-S56</f>
        <v/>
      </c>
      <c r="T59" s="0">
        <f>T57+T53+T55+T58-T56</f>
        <v/>
      </c>
      <c r="U59" s="0">
        <f>U57+U53+U55+U58-U56</f>
        <v/>
      </c>
      <c r="V59" s="0">
        <f>V57+V53+V55+V58-V56</f>
        <v/>
      </c>
      <c r="W59" s="0">
        <f>W57+W53+W55+W58-W56</f>
        <v/>
      </c>
    </row>
    <row r="60" ht="15" customHeight="1" s="103">
      <c r="B60" s="0" t="inlineStr">
        <is>
          <t>Y3 Min Capital Requirement</t>
        </is>
      </c>
      <c r="C60" s="0">
        <f>Assumptions!$D$60*C69</f>
        <v/>
      </c>
      <c r="D60" s="0">
        <f>Assumptions!$D$60*D69</f>
        <v/>
      </c>
      <c r="E60" s="0">
        <f>Assumptions!$D$60*E69</f>
        <v/>
      </c>
      <c r="F60" s="0">
        <f>Assumptions!$D$60*F69</f>
        <v/>
      </c>
      <c r="G60" s="0">
        <f>Assumptions!$D$60*G69</f>
        <v/>
      </c>
      <c r="H60" s="0">
        <f>Assumptions!$D$60*H69</f>
        <v/>
      </c>
      <c r="I60" s="0">
        <f>Assumptions!$D$60*I69</f>
        <v/>
      </c>
      <c r="J60" s="0">
        <f>Assumptions!$D$60*J69</f>
        <v/>
      </c>
      <c r="K60" s="0">
        <f>Assumptions!$D$60*K69</f>
        <v/>
      </c>
      <c r="L60" s="0">
        <f>Assumptions!$D$60*L69</f>
        <v/>
      </c>
      <c r="M60" s="0">
        <f>Assumptions!$D$60*M69</f>
        <v/>
      </c>
      <c r="N60" s="0">
        <f>Assumptions!$D$60*N69</f>
        <v/>
      </c>
      <c r="O60" s="0">
        <f>Assumptions!$D$60*O69</f>
        <v/>
      </c>
      <c r="P60" s="0">
        <f>Assumptions!$D$60*P69</f>
        <v/>
      </c>
      <c r="Q60" s="0">
        <f>Assumptions!$D$60*Q69</f>
        <v/>
      </c>
      <c r="R60" s="0">
        <f>Assumptions!$D$60*R69</f>
        <v/>
      </c>
      <c r="S60" s="0">
        <f>Assumptions!$D$60*S69</f>
        <v/>
      </c>
      <c r="T60" s="0">
        <f>Assumptions!$D$60*T69</f>
        <v/>
      </c>
      <c r="U60" s="0">
        <f>Assumptions!$D$60*U69</f>
        <v/>
      </c>
      <c r="V60" s="0">
        <f>Assumptions!$D$60*V69</f>
        <v/>
      </c>
      <c r="W60" s="0">
        <f>Assumptions!$D$60*W69</f>
        <v/>
      </c>
    </row>
    <row r="61" ht="15" customHeight="1" s="103">
      <c r="B61" s="0" t="inlineStr">
        <is>
          <t>Y3 Capital Call</t>
        </is>
      </c>
      <c r="C61" s="0">
        <f>IF(Assumptions!$D$61="Yes",MAX(0,C60-C59),0)</f>
        <v/>
      </c>
      <c r="D61" s="0">
        <f>IF(Assumptions!$D$61="Yes",MAX(0,D60-D59),0)</f>
        <v/>
      </c>
      <c r="E61" s="0">
        <f>IF(Assumptions!$D$61="Yes",MAX(0,E60-E59),0)</f>
        <v/>
      </c>
      <c r="F61" s="0">
        <f>IF(Assumptions!$D$61="Yes",MAX(0,F60-F59),0)</f>
        <v/>
      </c>
      <c r="G61" s="0">
        <f>IF(Assumptions!$D$61="Yes",MAX(0,G60-G59),0)</f>
        <v/>
      </c>
      <c r="H61" s="0">
        <f>IF(Assumptions!$D$61="Yes",MAX(0,H60-H59),0)</f>
        <v/>
      </c>
      <c r="I61" s="0">
        <f>IF(Assumptions!$D$61="Yes",MAX(0,I60-I59),0)</f>
        <v/>
      </c>
      <c r="J61" s="0">
        <f>IF(Assumptions!$D$61="Yes",MAX(0,J60-J59),0)</f>
        <v/>
      </c>
      <c r="K61" s="0">
        <f>IF(Assumptions!$D$61="Yes",MAX(0,K60-K59),0)</f>
        <v/>
      </c>
      <c r="L61" s="0">
        <f>IF(Assumptions!$D$61="Yes",MAX(0,L60-L59),0)</f>
        <v/>
      </c>
      <c r="M61" s="0">
        <f>IF(Assumptions!$D$61="Yes",MAX(0,M60-M59),0)</f>
        <v/>
      </c>
      <c r="N61" s="0">
        <f>IF(Assumptions!$D$61="Yes",MAX(0,N60-N59),0)</f>
        <v/>
      </c>
      <c r="O61" s="0">
        <f>IF(Assumptions!$D$61="Yes",MAX(0,O60-O59),0)</f>
        <v/>
      </c>
      <c r="P61" s="0">
        <f>IF(Assumptions!$D$61="Yes",MAX(0,P60-P59),0)</f>
        <v/>
      </c>
      <c r="Q61" s="0">
        <f>IF(Assumptions!$D$61="Yes",MAX(0,Q60-Q59),0)</f>
        <v/>
      </c>
      <c r="R61" s="0">
        <f>IF(Assumptions!$D$61="Yes",MAX(0,R60-R59),0)</f>
        <v/>
      </c>
      <c r="S61" s="0">
        <f>IF(Assumptions!$D$61="Yes",MAX(0,S60-S59),0)</f>
        <v/>
      </c>
      <c r="T61" s="0">
        <f>IF(Assumptions!$D$61="Yes",MAX(0,T60-T59),0)</f>
        <v/>
      </c>
      <c r="U61" s="0">
        <f>IF(Assumptions!$D$61="Yes",MAX(0,U60-U59),0)</f>
        <v/>
      </c>
      <c r="V61" s="0">
        <f>IF(Assumptions!$D$61="Yes",MAX(0,V60-V59),0)</f>
        <v/>
      </c>
      <c r="W61" s="0">
        <f>IF(Assumptions!$D$61="Yes",MAX(0,W60-W59),0)</f>
        <v/>
      </c>
    </row>
    <row r="62" ht="15" customHeight="1" s="103">
      <c r="B62" s="0" t="inlineStr">
        <is>
          <t>Y3 Total Cell Income</t>
        </is>
      </c>
      <c r="C62" s="0">
        <f>C53+C54+C58</f>
        <v/>
      </c>
      <c r="D62" s="0">
        <f>D53+D54+D58</f>
        <v/>
      </c>
      <c r="E62" s="0">
        <f>E53+E54+E58</f>
        <v/>
      </c>
      <c r="F62" s="0">
        <f>F53+F54+F58</f>
        <v/>
      </c>
      <c r="G62" s="0">
        <f>G53+G54+G58</f>
        <v/>
      </c>
      <c r="H62" s="0">
        <f>H53+H54+H58</f>
        <v/>
      </c>
      <c r="I62" s="0">
        <f>I53+I54+I58</f>
        <v/>
      </c>
      <c r="J62" s="0">
        <f>J53+J54+J58</f>
        <v/>
      </c>
      <c r="K62" s="0">
        <f>K53+K54+K58</f>
        <v/>
      </c>
      <c r="L62" s="0">
        <f>L53+L54+L58</f>
        <v/>
      </c>
      <c r="M62" s="0">
        <f>M53+M54+M58</f>
        <v/>
      </c>
      <c r="N62" s="0">
        <f>N53+N54+N58</f>
        <v/>
      </c>
      <c r="O62" s="0">
        <f>O53+O54+O58</f>
        <v/>
      </c>
      <c r="P62" s="0">
        <f>P53+P54+P58</f>
        <v/>
      </c>
      <c r="Q62" s="0">
        <f>Q53+Q54+Q58</f>
        <v/>
      </c>
      <c r="R62" s="0">
        <f>R53+R54+R58</f>
        <v/>
      </c>
      <c r="S62" s="0">
        <f>S53+S54+S58</f>
        <v/>
      </c>
      <c r="T62" s="0">
        <f>T53+T54+T58</f>
        <v/>
      </c>
      <c r="U62" s="0">
        <f>U53+U54+U58</f>
        <v/>
      </c>
      <c r="V62" s="0">
        <f>V53+V54+V58</f>
        <v/>
      </c>
      <c r="W62" s="0">
        <f>W53+W54+W58</f>
        <v/>
      </c>
    </row>
    <row r="63" ht="15" customHeight="1" s="103">
      <c r="B63" s="0" t="inlineStr">
        <is>
          <t>Y3 Dividends</t>
        </is>
      </c>
      <c r="C63" s="0">
        <f>IF(C61&gt;0,0,MAX(0,MIN(C$15*MAX(0,C62),C59-C60)))</f>
        <v/>
      </c>
      <c r="D63" s="0">
        <f>IF(D61&gt;0,0,MAX(0,MIN(D$15*MAX(0,D62),D59-D60)))</f>
        <v/>
      </c>
      <c r="E63" s="0">
        <f>IF(E61&gt;0,0,MAX(0,MIN(E$15*MAX(0,E62),E59-E60)))</f>
        <v/>
      </c>
      <c r="F63" s="0">
        <f>IF(F61&gt;0,0,MAX(0,MIN(F$15*MAX(0,F62),F59-F60)))</f>
        <v/>
      </c>
      <c r="G63" s="0">
        <f>IF(G61&gt;0,0,MAX(0,MIN(G$15*MAX(0,G62),G59-G60)))</f>
        <v/>
      </c>
      <c r="H63" s="0">
        <f>IF(H61&gt;0,0,MAX(0,MIN(H$15*MAX(0,H62),H59-H60)))</f>
        <v/>
      </c>
      <c r="I63" s="0">
        <f>IF(I61&gt;0,0,MAX(0,MIN(I$15*MAX(0,I62),I59-I60)))</f>
        <v/>
      </c>
      <c r="J63" s="0">
        <f>IF(J61&gt;0,0,MAX(0,MIN(J$15*MAX(0,J62),J59-J60)))</f>
        <v/>
      </c>
      <c r="K63" s="0">
        <f>IF(K61&gt;0,0,MAX(0,MIN(K$15*MAX(0,K62),K59-K60)))</f>
        <v/>
      </c>
      <c r="L63" s="0">
        <f>IF(L61&gt;0,0,MAX(0,MIN(L$15*MAX(0,L62),L59-L60)))</f>
        <v/>
      </c>
      <c r="M63" s="0">
        <f>IF(M61&gt;0,0,MAX(0,MIN(M$15*MAX(0,M62),M59-M60)))</f>
        <v/>
      </c>
      <c r="N63" s="0">
        <f>IF(N61&gt;0,0,MAX(0,MIN(N$15*MAX(0,N62),N59-N60)))</f>
        <v/>
      </c>
      <c r="O63" s="0">
        <f>IF(O61&gt;0,0,MAX(0,MIN(O$15*MAX(0,O62),O59-O60)))</f>
        <v/>
      </c>
      <c r="P63" s="0">
        <f>IF(P61&gt;0,0,MAX(0,MIN(P$15*MAX(0,P62),P59-P60)))</f>
        <v/>
      </c>
      <c r="Q63" s="0">
        <f>IF(Q61&gt;0,0,MAX(0,MIN(Q$15*MAX(0,Q62),Q59-Q60)))</f>
        <v/>
      </c>
      <c r="R63" s="0">
        <f>IF(R61&gt;0,0,MAX(0,MIN(R$15*MAX(0,R62),R59-R60)))</f>
        <v/>
      </c>
      <c r="S63" s="0">
        <f>IF(S61&gt;0,0,MAX(0,MIN(S$15*MAX(0,S62),S59-S60)))</f>
        <v/>
      </c>
      <c r="T63" s="0">
        <f>IF(T61&gt;0,0,MAX(0,MIN(T$15*MAX(0,T62),T59-T60)))</f>
        <v/>
      </c>
      <c r="U63" s="0">
        <f>IF(U61&gt;0,0,MAX(0,MIN(U$15*MAX(0,U62),U59-U60)))</f>
        <v/>
      </c>
      <c r="V63" s="0">
        <f>IF(V61&gt;0,0,MAX(0,MIN(V$15*MAX(0,V62),V59-V60)))</f>
        <v/>
      </c>
      <c r="W63" s="0">
        <f>IF(W61&gt;0,0,MAX(0,MIN(W$15*MAX(0,W62),W59-W60)))</f>
        <v/>
      </c>
    </row>
    <row r="64" ht="15" customHeight="1" s="103">
      <c r="B64" s="0" t="inlineStr">
        <is>
          <t>Y3 Ending Equity</t>
        </is>
      </c>
      <c r="C64" s="0">
        <f>C57+C53+C55+C58+C61-C63</f>
        <v/>
      </c>
      <c r="D64" s="0">
        <f>D57+D53+D55+D58+D61-D63</f>
        <v/>
      </c>
      <c r="E64" s="0">
        <f>E57+E53+E55+E58+E61-E63</f>
        <v/>
      </c>
      <c r="F64" s="0">
        <f>F57+F53+F55+F58+F61-F63</f>
        <v/>
      </c>
      <c r="G64" s="0">
        <f>G57+G53+G55+G58+G61-G63</f>
        <v/>
      </c>
      <c r="H64" s="0">
        <f>H57+H53+H55+H58+H61-H63</f>
        <v/>
      </c>
      <c r="I64" s="0">
        <f>I57+I53+I55+I58+I61-I63</f>
        <v/>
      </c>
      <c r="J64" s="0">
        <f>J57+J53+J55+J58+J61-J63</f>
        <v/>
      </c>
      <c r="K64" s="0">
        <f>K57+K53+K55+K58+K61-K63</f>
        <v/>
      </c>
      <c r="L64" s="0">
        <f>L57+L53+L55+L58+L61-L63</f>
        <v/>
      </c>
      <c r="M64" s="0">
        <f>M57+M53+M55+M58+M61-M63</f>
        <v/>
      </c>
      <c r="N64" s="0">
        <f>N57+N53+N55+N58+N61-N63</f>
        <v/>
      </c>
      <c r="O64" s="0">
        <f>O57+O53+O55+O58+O61-O63</f>
        <v/>
      </c>
      <c r="P64" s="0">
        <f>P57+P53+P55+P58+P61-P63</f>
        <v/>
      </c>
      <c r="Q64" s="0">
        <f>Q57+Q53+Q55+Q58+Q61-Q63</f>
        <v/>
      </c>
      <c r="R64" s="0">
        <f>R57+R53+R55+R58+R61-R63</f>
        <v/>
      </c>
      <c r="S64" s="0">
        <f>S57+S53+S55+S58+S61-S63</f>
        <v/>
      </c>
      <c r="T64" s="0">
        <f>T57+T53+T55+T58+T61-T63</f>
        <v/>
      </c>
      <c r="U64" s="0">
        <f>U57+U53+U55+U58+U61-U63</f>
        <v/>
      </c>
      <c r="V64" s="0">
        <f>V57+V53+V55+V58+V61-V63</f>
        <v/>
      </c>
      <c r="W64" s="0">
        <f>W57+W53+W55+W58+W61-W63</f>
        <v/>
      </c>
    </row>
    <row r="65" ht="15" customHeight="1" s="103">
      <c r="B65" s="0" t="inlineStr">
        <is>
          <t>Y3 Available Equity</t>
        </is>
      </c>
      <c r="C65" s="0">
        <f>C64-C56</f>
        <v/>
      </c>
      <c r="D65" s="0">
        <f>D64-D56</f>
        <v/>
      </c>
      <c r="E65" s="0">
        <f>E64-E56</f>
        <v/>
      </c>
      <c r="F65" s="0">
        <f>F64-F56</f>
        <v/>
      </c>
      <c r="G65" s="0">
        <f>G64-G56</f>
        <v/>
      </c>
      <c r="H65" s="0">
        <f>H64-H56</f>
        <v/>
      </c>
      <c r="I65" s="0">
        <f>I64-I56</f>
        <v/>
      </c>
      <c r="J65" s="0">
        <f>J64-J56</f>
        <v/>
      </c>
      <c r="K65" s="0">
        <f>K64-K56</f>
        <v/>
      </c>
      <c r="L65" s="0">
        <f>L64-L56</f>
        <v/>
      </c>
      <c r="M65" s="0">
        <f>M64-M56</f>
        <v/>
      </c>
      <c r="N65" s="0">
        <f>N64-N56</f>
        <v/>
      </c>
      <c r="O65" s="0">
        <f>O64-O56</f>
        <v/>
      </c>
      <c r="P65" s="0">
        <f>P64-P56</f>
        <v/>
      </c>
      <c r="Q65" s="0">
        <f>Q64-Q56</f>
        <v/>
      </c>
      <c r="R65" s="0">
        <f>R64-R56</f>
        <v/>
      </c>
      <c r="S65" s="0">
        <f>S64-S56</f>
        <v/>
      </c>
      <c r="T65" s="0">
        <f>T64-T56</f>
        <v/>
      </c>
      <c r="U65" s="0">
        <f>U64-U56</f>
        <v/>
      </c>
      <c r="V65" s="0">
        <f>V64-V56</f>
        <v/>
      </c>
      <c r="W65" s="0">
        <f>W64-W56</f>
        <v/>
      </c>
    </row>
    <row r="66" ht="15" customHeight="1" s="103">
      <c r="B66" s="0" t="inlineStr">
        <is>
          <t>Y3 Net Annual Cash</t>
        </is>
      </c>
      <c r="C66" s="0">
        <f>-Captive!$E$7-C61+C63</f>
        <v/>
      </c>
      <c r="D66" s="0">
        <f>-Captive!$E$7-D61+D63</f>
        <v/>
      </c>
      <c r="E66" s="0">
        <f>-Captive!$E$7-E61+E63</f>
        <v/>
      </c>
      <c r="F66" s="0">
        <f>-Captive!$E$7-F61+F63</f>
        <v/>
      </c>
      <c r="G66" s="0">
        <f>-Captive!$E$7-G61+G63</f>
        <v/>
      </c>
      <c r="H66" s="0">
        <f>-Captive!$E$7-H61+H63</f>
        <v/>
      </c>
      <c r="I66" s="0">
        <f>-Captive!$E$7-I61+I63</f>
        <v/>
      </c>
      <c r="J66" s="0">
        <f>-Captive!$E$7-J61+J63</f>
        <v/>
      </c>
      <c r="K66" s="0">
        <f>-Captive!$E$7-K61+K63</f>
        <v/>
      </c>
      <c r="L66" s="0">
        <f>-Captive!$E$7-L61+L63</f>
        <v/>
      </c>
      <c r="M66" s="0">
        <f>-Captive!$E$7-M61+M63</f>
        <v/>
      </c>
      <c r="N66" s="0">
        <f>-Captive!$E$7-N61+N63</f>
        <v/>
      </c>
      <c r="O66" s="0">
        <f>-Captive!$E$7-O61+O63</f>
        <v/>
      </c>
      <c r="P66" s="0">
        <f>-Captive!$E$7-P61+P63</f>
        <v/>
      </c>
      <c r="Q66" s="0">
        <f>-Captive!$E$7-Q61+Q63</f>
        <v/>
      </c>
      <c r="R66" s="0">
        <f>-Captive!$E$7-R61+R63</f>
        <v/>
      </c>
      <c r="S66" s="0">
        <f>-Captive!$E$7-S61+S63</f>
        <v/>
      </c>
      <c r="T66" s="0">
        <f>-Captive!$E$7-T61+T63</f>
        <v/>
      </c>
      <c r="U66" s="0">
        <f>-Captive!$E$7-U61+U63</f>
        <v/>
      </c>
      <c r="V66" s="0">
        <f>-Captive!$E$7-V61+V63</f>
        <v/>
      </c>
      <c r="W66" s="0">
        <f>-Captive!$E$7-W61+W63</f>
        <v/>
      </c>
    </row>
    <row r="67" ht="15" customHeight="1" s="103">
      <c r="B67" s="0" t="inlineStr">
        <is>
          <t>Y3 Cumulative Net Cash</t>
        </is>
      </c>
      <c r="C67" s="0">
        <f>C51+C66</f>
        <v/>
      </c>
      <c r="D67" s="0">
        <f>D51+D66</f>
        <v/>
      </c>
      <c r="E67" s="0">
        <f>E51+E66</f>
        <v/>
      </c>
      <c r="F67" s="0">
        <f>F51+F66</f>
        <v/>
      </c>
      <c r="G67" s="0">
        <f>G51+G66</f>
        <v/>
      </c>
      <c r="H67" s="0">
        <f>H51+H66</f>
        <v/>
      </c>
      <c r="I67" s="0">
        <f>I51+I66</f>
        <v/>
      </c>
      <c r="J67" s="0">
        <f>J51+J66</f>
        <v/>
      </c>
      <c r="K67" s="0">
        <f>K51+K66</f>
        <v/>
      </c>
      <c r="L67" s="0">
        <f>L51+L66</f>
        <v/>
      </c>
      <c r="M67" s="0">
        <f>M51+M66</f>
        <v/>
      </c>
      <c r="N67" s="0">
        <f>N51+N66</f>
        <v/>
      </c>
      <c r="O67" s="0">
        <f>O51+O66</f>
        <v/>
      </c>
      <c r="P67" s="0">
        <f>P51+P66</f>
        <v/>
      </c>
      <c r="Q67" s="0">
        <f>Q51+Q66</f>
        <v/>
      </c>
      <c r="R67" s="0">
        <f>R51+R66</f>
        <v/>
      </c>
      <c r="S67" s="0">
        <f>S51+S66</f>
        <v/>
      </c>
      <c r="T67" s="0">
        <f>T51+T66</f>
        <v/>
      </c>
      <c r="U67" s="0">
        <f>U51+U66</f>
        <v/>
      </c>
      <c r="V67" s="0">
        <f>V51+V66</f>
        <v/>
      </c>
      <c r="W67" s="0">
        <f>W51+W66</f>
        <v/>
      </c>
    </row>
    <row r="68" ht="15" customHeight="1" s="103">
      <c r="B68" s="0" t="inlineStr">
        <is>
          <t>Y4 Gross Premium</t>
        </is>
      </c>
      <c r="C68" s="0">
        <f t="array" ref="C68">Captive!$F$7</f>
        <v/>
      </c>
      <c r="D68" s="0">
        <f t="array" ref="D68">Captive!$F$7</f>
        <v/>
      </c>
      <c r="E68" s="0">
        <f t="array" ref="E68">Captive!$F$7</f>
        <v/>
      </c>
      <c r="F68" s="0">
        <f t="array" ref="F68">Captive!$F$7</f>
        <v/>
      </c>
      <c r="G68" s="0">
        <f t="array" ref="G68">Captive!$F$7</f>
        <v/>
      </c>
      <c r="H68" s="0">
        <f t="array" ref="H68">Captive!$F$7</f>
        <v/>
      </c>
      <c r="I68" s="0">
        <f t="array" ref="I68">Captive!$F$7</f>
        <v/>
      </c>
      <c r="J68" s="0">
        <f t="array" ref="J68">Captive!$F$7</f>
        <v/>
      </c>
      <c r="K68" s="0">
        <f t="array" ref="K68">Captive!$F$7</f>
        <v/>
      </c>
      <c r="L68" s="0">
        <f t="array" ref="L68">Captive!$F$7</f>
        <v/>
      </c>
      <c r="M68" s="0">
        <f t="array" ref="M68">Captive!$F$7</f>
        <v/>
      </c>
      <c r="N68" s="0">
        <f t="array" ref="N68">Captive!$F$7</f>
        <v/>
      </c>
      <c r="O68" s="0">
        <f t="array" ref="O68">Captive!$F$7</f>
        <v/>
      </c>
      <c r="P68" s="0">
        <f t="array" ref="P68">Captive!$F$7</f>
        <v/>
      </c>
      <c r="Q68" s="0">
        <f t="array" ref="Q68">Captive!$F$7</f>
        <v/>
      </c>
      <c r="R68" s="0">
        <f t="array" ref="R68">Captive!$F$7</f>
        <v/>
      </c>
      <c r="S68" s="0">
        <f t="array" ref="S68">Captive!$F$7</f>
        <v/>
      </c>
      <c r="T68" s="0">
        <f t="array" ref="T68">Captive!$F$7</f>
        <v/>
      </c>
      <c r="U68" s="0">
        <f t="array" ref="U68">Captive!$F$7</f>
        <v/>
      </c>
      <c r="V68" s="0">
        <f t="array" ref="V68">Captive!$F$7</f>
        <v/>
      </c>
      <c r="W68" s="0">
        <f t="array" ref="W68">Captive!$F$7</f>
        <v/>
      </c>
    </row>
    <row r="69" ht="15" customHeight="1" s="103">
      <c r="B69" s="0" t="inlineStr">
        <is>
          <t>Y4 Net Retained Premium</t>
        </is>
      </c>
      <c r="C69" s="0">
        <f>C68*(1-Assumptions!$D$19-C$13-C$14)</f>
        <v/>
      </c>
      <c r="D69" s="0">
        <f>D68*(1-Assumptions!$D$19-D$13-D$14)</f>
        <v/>
      </c>
      <c r="E69" s="0">
        <f>E68*(1-Assumptions!$D$19-E$13-E$14)</f>
        <v/>
      </c>
      <c r="F69" s="0">
        <f>F68*(1-Assumptions!$D$19-F$13-F$14)</f>
        <v/>
      </c>
      <c r="G69" s="0">
        <f>G68*(1-Assumptions!$D$19-G$13-G$14)</f>
        <v/>
      </c>
      <c r="H69" s="0">
        <f>H68*(1-Assumptions!$D$19-H$13-H$14)</f>
        <v/>
      </c>
      <c r="I69" s="0">
        <f>I68*(1-Assumptions!$D$19-I$13-I$14)</f>
        <v/>
      </c>
      <c r="J69" s="0">
        <f>J68*(1-Assumptions!$D$19-J$13-J$14)</f>
        <v/>
      </c>
      <c r="K69" s="0">
        <f>K68*(1-Assumptions!$D$19-K$13-K$14)</f>
        <v/>
      </c>
      <c r="L69" s="0">
        <f>L68*(1-Assumptions!$D$19-L$13-L$14)</f>
        <v/>
      </c>
      <c r="M69" s="0">
        <f>M68*(1-Assumptions!$D$19-M$13-M$14)</f>
        <v/>
      </c>
      <c r="N69" s="0">
        <f>N68*(1-Assumptions!$D$19-N$13-N$14)</f>
        <v/>
      </c>
      <c r="O69" s="0">
        <f>O68*(1-Assumptions!$D$19-O$13-O$14)</f>
        <v/>
      </c>
      <c r="P69" s="0">
        <f>P68*(1-Assumptions!$D$19-P$13-P$14)</f>
        <v/>
      </c>
      <c r="Q69" s="0">
        <f>Q68*(1-Assumptions!$D$19-Q$13-Q$14)</f>
        <v/>
      </c>
      <c r="R69" s="0">
        <f>R68*(1-Assumptions!$D$19-R$13-R$14)</f>
        <v/>
      </c>
      <c r="S69" s="0">
        <f>S68*(1-Assumptions!$D$19-S$13-S$14)</f>
        <v/>
      </c>
      <c r="T69" s="0">
        <f>T68*(1-Assumptions!$D$19-T$13-T$14)</f>
        <v/>
      </c>
      <c r="U69" s="0">
        <f>U68*(1-Assumptions!$D$19-U$13-U$14)</f>
        <v/>
      </c>
      <c r="V69" s="0">
        <f>V68*(1-Assumptions!$D$19-V$13-V$14)</f>
        <v/>
      </c>
      <c r="W69" s="0">
        <f>W68*(1-Assumptions!$D$19-W$13-W$14)</f>
        <v/>
      </c>
    </row>
    <row r="70" ht="15" customHeight="1" s="103">
      <c r="B70" s="0" t="inlineStr">
        <is>
          <t>Y4 Losses Incurred</t>
        </is>
      </c>
      <c r="C70" s="0">
        <f>-C69*Assumptions!$D$34*C$11</f>
        <v/>
      </c>
      <c r="D70" s="0">
        <f>-D69*Assumptions!$D$34*D$11</f>
        <v/>
      </c>
      <c r="E70" s="0">
        <f>-E69*Assumptions!$D$34*E$11</f>
        <v/>
      </c>
      <c r="F70" s="0">
        <f>-F69*Assumptions!$D$34*F$11</f>
        <v/>
      </c>
      <c r="G70" s="0">
        <f>-G69*Assumptions!$D$34*G$11</f>
        <v/>
      </c>
      <c r="H70" s="0">
        <f>-H69*Assumptions!$D$34*H$11</f>
        <v/>
      </c>
      <c r="I70" s="0">
        <f>-I69*Assumptions!$D$34*I$11</f>
        <v/>
      </c>
      <c r="J70" s="0">
        <f>-J69*Assumptions!$D$34*J$11</f>
        <v/>
      </c>
      <c r="K70" s="0">
        <f>-K69*Assumptions!$D$34*K$11</f>
        <v/>
      </c>
      <c r="L70" s="0">
        <f>-L69*Assumptions!$D$34*L$11</f>
        <v/>
      </c>
      <c r="M70" s="0">
        <f>-M69*Assumptions!$D$34*M$11</f>
        <v/>
      </c>
      <c r="N70" s="0">
        <f>-N69*Assumptions!$D$34*N$11</f>
        <v/>
      </c>
      <c r="O70" s="0">
        <f>-O69*Assumptions!$D$34*O$11</f>
        <v/>
      </c>
      <c r="P70" s="0">
        <f>-P69*Assumptions!$D$34*P$11</f>
        <v/>
      </c>
      <c r="Q70" s="0">
        <f>-Q69*Assumptions!$D$34*Q$11</f>
        <v/>
      </c>
      <c r="R70" s="0">
        <f>-R69*Assumptions!$D$34*R$11</f>
        <v/>
      </c>
      <c r="S70" s="0">
        <f>-S69*Assumptions!$D$34*S$11</f>
        <v/>
      </c>
      <c r="T70" s="0">
        <f>-T69*Assumptions!$D$34*T$11</f>
        <v/>
      </c>
      <c r="U70" s="0">
        <f>-U69*Assumptions!$D$34*U$11</f>
        <v/>
      </c>
      <c r="V70" s="0">
        <f>-V69*Assumptions!$D$34*V$11</f>
        <v/>
      </c>
      <c r="W70" s="0">
        <f>-W69*Assumptions!$D$34*W$11</f>
        <v/>
      </c>
    </row>
    <row r="71" ht="15" customHeight="1" s="103">
      <c r="B71" s="0" t="inlineStr">
        <is>
          <t>Y4 Claims Paid</t>
        </is>
      </c>
      <c r="C71" s="0">
        <f>C70*Assumptions!$D$53+C54*Assumptions!$D$54+C38*Assumptions!$D$55+C22*Assumptions!$D$56</f>
        <v/>
      </c>
      <c r="D71" s="0">
        <f>D70*Assumptions!$D$53+D54*Assumptions!$D$54+D38*Assumptions!$D$55+D22*Assumptions!$D$56</f>
        <v/>
      </c>
      <c r="E71" s="0">
        <f>E70*Assumptions!$D$53+E54*Assumptions!$D$54+E38*Assumptions!$D$55+E22*Assumptions!$D$56</f>
        <v/>
      </c>
      <c r="F71" s="0">
        <f>F70*Assumptions!$D$53+F54*Assumptions!$D$54+F38*Assumptions!$D$55+F22*Assumptions!$D$56</f>
        <v/>
      </c>
      <c r="G71" s="0">
        <f>G70*Assumptions!$D$53+G54*Assumptions!$D$54+G38*Assumptions!$D$55+G22*Assumptions!$D$56</f>
        <v/>
      </c>
      <c r="H71" s="0">
        <f>H70*Assumptions!$D$53+H54*Assumptions!$D$54+H38*Assumptions!$D$55+H22*Assumptions!$D$56</f>
        <v/>
      </c>
      <c r="I71" s="0">
        <f>I70*Assumptions!$D$53+I54*Assumptions!$D$54+I38*Assumptions!$D$55+I22*Assumptions!$D$56</f>
        <v/>
      </c>
      <c r="J71" s="0">
        <f>J70*Assumptions!$D$53+J54*Assumptions!$D$54+J38*Assumptions!$D$55+J22*Assumptions!$D$56</f>
        <v/>
      </c>
      <c r="K71" s="0">
        <f>K70*Assumptions!$D$53+K54*Assumptions!$D$54+K38*Assumptions!$D$55+K22*Assumptions!$D$56</f>
        <v/>
      </c>
      <c r="L71" s="0">
        <f>L70*Assumptions!$D$53+L54*Assumptions!$D$54+L38*Assumptions!$D$55+L22*Assumptions!$D$56</f>
        <v/>
      </c>
      <c r="M71" s="0">
        <f>M70*Assumptions!$D$53+M54*Assumptions!$D$54+M38*Assumptions!$D$55+M22*Assumptions!$D$56</f>
        <v/>
      </c>
      <c r="N71" s="0">
        <f>N70*Assumptions!$D$53+N54*Assumptions!$D$54+N38*Assumptions!$D$55+N22*Assumptions!$D$56</f>
        <v/>
      </c>
      <c r="O71" s="0">
        <f>O70*Assumptions!$D$53+O54*Assumptions!$D$54+O38*Assumptions!$D$55+O22*Assumptions!$D$56</f>
        <v/>
      </c>
      <c r="P71" s="0">
        <f>P70*Assumptions!$D$53+P54*Assumptions!$D$54+P38*Assumptions!$D$55+P22*Assumptions!$D$56</f>
        <v/>
      </c>
      <c r="Q71" s="0">
        <f>Q70*Assumptions!$D$53+Q54*Assumptions!$D$54+Q38*Assumptions!$D$55+Q22*Assumptions!$D$56</f>
        <v/>
      </c>
      <c r="R71" s="0">
        <f>R70*Assumptions!$D$53+R54*Assumptions!$D$54+R38*Assumptions!$D$55+R22*Assumptions!$D$56</f>
        <v/>
      </c>
      <c r="S71" s="0">
        <f>S70*Assumptions!$D$53+S54*Assumptions!$D$54+S38*Assumptions!$D$55+S22*Assumptions!$D$56</f>
        <v/>
      </c>
      <c r="T71" s="0">
        <f>T70*Assumptions!$D$53+T54*Assumptions!$D$54+T38*Assumptions!$D$55+T22*Assumptions!$D$56</f>
        <v/>
      </c>
      <c r="U71" s="0">
        <f>U70*Assumptions!$D$53+U54*Assumptions!$D$54+U38*Assumptions!$D$55+U22*Assumptions!$D$56</f>
        <v/>
      </c>
      <c r="V71" s="0">
        <f>V70*Assumptions!$D$53+V54*Assumptions!$D$54+V38*Assumptions!$D$55+V22*Assumptions!$D$56</f>
        <v/>
      </c>
      <c r="W71" s="0">
        <f>W70*Assumptions!$D$53+W54*Assumptions!$D$54+W38*Assumptions!$D$55+W22*Assumptions!$D$56</f>
        <v/>
      </c>
    </row>
    <row r="72" ht="15" customHeight="1" s="103">
      <c r="B72" s="0" t="inlineStr">
        <is>
          <t>Y4 Ending Loss Reserves</t>
        </is>
      </c>
      <c r="C72" s="0">
        <f>C56+C71-C70</f>
        <v/>
      </c>
      <c r="D72" s="0">
        <f>D56+D71-D70</f>
        <v/>
      </c>
      <c r="E72" s="0">
        <f>E56+E71-E70</f>
        <v/>
      </c>
      <c r="F72" s="0">
        <f>F56+F71-F70</f>
        <v/>
      </c>
      <c r="G72" s="0">
        <f>G56+G71-G70</f>
        <v/>
      </c>
      <c r="H72" s="0">
        <f>H56+H71-H70</f>
        <v/>
      </c>
      <c r="I72" s="0">
        <f>I56+I71-I70</f>
        <v/>
      </c>
      <c r="J72" s="0">
        <f>J56+J71-J70</f>
        <v/>
      </c>
      <c r="K72" s="0">
        <f>K56+K71-K70</f>
        <v/>
      </c>
      <c r="L72" s="0">
        <f>L56+L71-L70</f>
        <v/>
      </c>
      <c r="M72" s="0">
        <f>M56+M71-M70</f>
        <v/>
      </c>
      <c r="N72" s="0">
        <f>N56+N71-N70</f>
        <v/>
      </c>
      <c r="O72" s="0">
        <f>O56+O71-O70</f>
        <v/>
      </c>
      <c r="P72" s="0">
        <f>P56+P71-P70</f>
        <v/>
      </c>
      <c r="Q72" s="0">
        <f>Q56+Q71-Q70</f>
        <v/>
      </c>
      <c r="R72" s="0">
        <f>R56+R71-R70</f>
        <v/>
      </c>
      <c r="S72" s="0">
        <f>S56+S71-S70</f>
        <v/>
      </c>
      <c r="T72" s="0">
        <f>T56+T71-T70</f>
        <v/>
      </c>
      <c r="U72" s="0">
        <f>U56+U71-U70</f>
        <v/>
      </c>
      <c r="V72" s="0">
        <f>V56+V71-V70</f>
        <v/>
      </c>
      <c r="W72" s="0">
        <f>W56+W71-W70</f>
        <v/>
      </c>
    </row>
    <row r="73" ht="15" customHeight="1" s="103">
      <c r="B73" s="0" t="inlineStr">
        <is>
          <t>Y4 Beginning Equity</t>
        </is>
      </c>
      <c r="C73" s="0">
        <f t="array" ref="C73">C64</f>
        <v/>
      </c>
      <c r="D73" s="0">
        <f t="array" ref="D73">D64</f>
        <v/>
      </c>
      <c r="E73" s="0">
        <f t="array" ref="E73">E64</f>
        <v/>
      </c>
      <c r="F73" s="0">
        <f t="array" ref="F73">F64</f>
        <v/>
      </c>
      <c r="G73" s="0">
        <f t="array" ref="G73">G64</f>
        <v/>
      </c>
      <c r="H73" s="0">
        <f t="array" ref="H73">H64</f>
        <v/>
      </c>
      <c r="I73" s="0">
        <f t="array" ref="I73">I64</f>
        <v/>
      </c>
      <c r="J73" s="0">
        <f t="array" ref="J73">J64</f>
        <v/>
      </c>
      <c r="K73" s="0">
        <f t="array" ref="K73">K64</f>
        <v/>
      </c>
      <c r="L73" s="0">
        <f t="array" ref="L73">L64</f>
        <v/>
      </c>
      <c r="M73" s="0">
        <f t="array" ref="M73">M64</f>
        <v/>
      </c>
      <c r="N73" s="0">
        <f t="array" ref="N73">N64</f>
        <v/>
      </c>
      <c r="O73" s="0">
        <f t="array" ref="O73">O64</f>
        <v/>
      </c>
      <c r="P73" s="0">
        <f t="array" ref="P73">P64</f>
        <v/>
      </c>
      <c r="Q73" s="0">
        <f t="array" ref="Q73">Q64</f>
        <v/>
      </c>
      <c r="R73" s="0">
        <f t="array" ref="R73">R64</f>
        <v/>
      </c>
      <c r="S73" s="0">
        <f t="array" ref="S73">S64</f>
        <v/>
      </c>
      <c r="T73" s="0">
        <f t="array" ref="T73">T64</f>
        <v/>
      </c>
      <c r="U73" s="0">
        <f t="array" ref="U73">U64</f>
        <v/>
      </c>
      <c r="V73" s="0">
        <f t="array" ref="V73">V64</f>
        <v/>
      </c>
      <c r="W73" s="0">
        <f t="array" ref="W73">W64</f>
        <v/>
      </c>
    </row>
    <row r="74" ht="15" customHeight="1" s="103">
      <c r="B74" s="0" t="inlineStr">
        <is>
          <t>Y4 Investment Income</t>
        </is>
      </c>
      <c r="C74" s="0">
        <f>C73*C$17</f>
        <v/>
      </c>
      <c r="D74" s="0">
        <f>D73*D$17</f>
        <v/>
      </c>
      <c r="E74" s="0">
        <f>E73*E$17</f>
        <v/>
      </c>
      <c r="F74" s="0">
        <f>F73*F$17</f>
        <v/>
      </c>
      <c r="G74" s="0">
        <f>G73*G$17</f>
        <v/>
      </c>
      <c r="H74" s="0">
        <f>H73*H$17</f>
        <v/>
      </c>
      <c r="I74" s="0">
        <f>I73*I$17</f>
        <v/>
      </c>
      <c r="J74" s="0">
        <f>J73*J$17</f>
        <v/>
      </c>
      <c r="K74" s="0">
        <f>K73*K$17</f>
        <v/>
      </c>
      <c r="L74" s="0">
        <f>L73*L$17</f>
        <v/>
      </c>
      <c r="M74" s="0">
        <f>M73*M$17</f>
        <v/>
      </c>
      <c r="N74" s="0">
        <f>N73*N$17</f>
        <v/>
      </c>
      <c r="O74" s="0">
        <f>O73*O$17</f>
        <v/>
      </c>
      <c r="P74" s="0">
        <f>P73*P$17</f>
        <v/>
      </c>
      <c r="Q74" s="0">
        <f>Q73*Q$17</f>
        <v/>
      </c>
      <c r="R74" s="0">
        <f>R73*R$17</f>
        <v/>
      </c>
      <c r="S74" s="0">
        <f>S73*S$17</f>
        <v/>
      </c>
      <c r="T74" s="0">
        <f>T73*T$17</f>
        <v/>
      </c>
      <c r="U74" s="0">
        <f>U73*U$17</f>
        <v/>
      </c>
      <c r="V74" s="0">
        <f>V73*V$17</f>
        <v/>
      </c>
      <c r="W74" s="0">
        <f>W73*W$17</f>
        <v/>
      </c>
    </row>
    <row r="75" ht="15" customHeight="1" s="103">
      <c r="B75" s="0" t="inlineStr">
        <is>
          <t>Y4 Avail Equity pre-Call/Div</t>
        </is>
      </c>
      <c r="C75" s="0">
        <f>C73+C69+C71+C74-C72</f>
        <v/>
      </c>
      <c r="D75" s="0">
        <f>D73+D69+D71+D74-D72</f>
        <v/>
      </c>
      <c r="E75" s="0">
        <f>E73+E69+E71+E74-E72</f>
        <v/>
      </c>
      <c r="F75" s="0">
        <f>F73+F69+F71+F74-F72</f>
        <v/>
      </c>
      <c r="G75" s="0">
        <f>G73+G69+G71+G74-G72</f>
        <v/>
      </c>
      <c r="H75" s="0">
        <f>H73+H69+H71+H74-H72</f>
        <v/>
      </c>
      <c r="I75" s="0">
        <f>I73+I69+I71+I74-I72</f>
        <v/>
      </c>
      <c r="J75" s="0">
        <f>J73+J69+J71+J74-J72</f>
        <v/>
      </c>
      <c r="K75" s="0">
        <f>K73+K69+K71+K74-K72</f>
        <v/>
      </c>
      <c r="L75" s="0">
        <f>L73+L69+L71+L74-L72</f>
        <v/>
      </c>
      <c r="M75" s="0">
        <f>M73+M69+M71+M74-M72</f>
        <v/>
      </c>
      <c r="N75" s="0">
        <f>N73+N69+N71+N74-N72</f>
        <v/>
      </c>
      <c r="O75" s="0">
        <f>O73+O69+O71+O74-O72</f>
        <v/>
      </c>
      <c r="P75" s="0">
        <f>P73+P69+P71+P74-P72</f>
        <v/>
      </c>
      <c r="Q75" s="0">
        <f>Q73+Q69+Q71+Q74-Q72</f>
        <v/>
      </c>
      <c r="R75" s="0">
        <f>R73+R69+R71+R74-R72</f>
        <v/>
      </c>
      <c r="S75" s="0">
        <f>S73+S69+S71+S74-S72</f>
        <v/>
      </c>
      <c r="T75" s="0">
        <f>T73+T69+T71+T74-T72</f>
        <v/>
      </c>
      <c r="U75" s="0">
        <f>U73+U69+U71+U74-U72</f>
        <v/>
      </c>
      <c r="V75" s="0">
        <f>V73+V69+V71+V74-V72</f>
        <v/>
      </c>
      <c r="W75" s="0">
        <f>W73+W69+W71+W74-W72</f>
        <v/>
      </c>
    </row>
    <row r="76" ht="15" customHeight="1" s="103">
      <c r="B76" s="0" t="inlineStr">
        <is>
          <t>Y4 Min Capital Requirement</t>
        </is>
      </c>
      <c r="C76" s="0">
        <f>Assumptions!$D$60*C85</f>
        <v/>
      </c>
      <c r="D76" s="0">
        <f>Assumptions!$D$60*D85</f>
        <v/>
      </c>
      <c r="E76" s="0">
        <f>Assumptions!$D$60*E85</f>
        <v/>
      </c>
      <c r="F76" s="0">
        <f>Assumptions!$D$60*F85</f>
        <v/>
      </c>
      <c r="G76" s="0">
        <f>Assumptions!$D$60*G85</f>
        <v/>
      </c>
      <c r="H76" s="0">
        <f>Assumptions!$D$60*H85</f>
        <v/>
      </c>
      <c r="I76" s="0">
        <f>Assumptions!$D$60*I85</f>
        <v/>
      </c>
      <c r="J76" s="0">
        <f>Assumptions!$D$60*J85</f>
        <v/>
      </c>
      <c r="K76" s="0">
        <f>Assumptions!$D$60*K85</f>
        <v/>
      </c>
      <c r="L76" s="0">
        <f>Assumptions!$D$60*L85</f>
        <v/>
      </c>
      <c r="M76" s="0">
        <f>Assumptions!$D$60*M85</f>
        <v/>
      </c>
      <c r="N76" s="0">
        <f>Assumptions!$D$60*N85</f>
        <v/>
      </c>
      <c r="O76" s="0">
        <f>Assumptions!$D$60*O85</f>
        <v/>
      </c>
      <c r="P76" s="0">
        <f>Assumptions!$D$60*P85</f>
        <v/>
      </c>
      <c r="Q76" s="0">
        <f>Assumptions!$D$60*Q85</f>
        <v/>
      </c>
      <c r="R76" s="0">
        <f>Assumptions!$D$60*R85</f>
        <v/>
      </c>
      <c r="S76" s="0">
        <f>Assumptions!$D$60*S85</f>
        <v/>
      </c>
      <c r="T76" s="0">
        <f>Assumptions!$D$60*T85</f>
        <v/>
      </c>
      <c r="U76" s="0">
        <f>Assumptions!$D$60*U85</f>
        <v/>
      </c>
      <c r="V76" s="0">
        <f>Assumptions!$D$60*V85</f>
        <v/>
      </c>
      <c r="W76" s="0">
        <f>Assumptions!$D$60*W85</f>
        <v/>
      </c>
    </row>
    <row r="77" ht="15" customHeight="1" s="103">
      <c r="B77" s="0" t="inlineStr">
        <is>
          <t>Y4 Capital Call</t>
        </is>
      </c>
      <c r="C77" s="0">
        <f>IF(Assumptions!$D$61="Yes",MAX(0,C76-C75),0)</f>
        <v/>
      </c>
      <c r="D77" s="0">
        <f>IF(Assumptions!$D$61="Yes",MAX(0,D76-D75),0)</f>
        <v/>
      </c>
      <c r="E77" s="0">
        <f>IF(Assumptions!$D$61="Yes",MAX(0,E76-E75),0)</f>
        <v/>
      </c>
      <c r="F77" s="0">
        <f>IF(Assumptions!$D$61="Yes",MAX(0,F76-F75),0)</f>
        <v/>
      </c>
      <c r="G77" s="0">
        <f>IF(Assumptions!$D$61="Yes",MAX(0,G76-G75),0)</f>
        <v/>
      </c>
      <c r="H77" s="0">
        <f>IF(Assumptions!$D$61="Yes",MAX(0,H76-H75),0)</f>
        <v/>
      </c>
      <c r="I77" s="0">
        <f>IF(Assumptions!$D$61="Yes",MAX(0,I76-I75),0)</f>
        <v/>
      </c>
      <c r="J77" s="0">
        <f>IF(Assumptions!$D$61="Yes",MAX(0,J76-J75),0)</f>
        <v/>
      </c>
      <c r="K77" s="0">
        <f>IF(Assumptions!$D$61="Yes",MAX(0,K76-K75),0)</f>
        <v/>
      </c>
      <c r="L77" s="0">
        <f>IF(Assumptions!$D$61="Yes",MAX(0,L76-L75),0)</f>
        <v/>
      </c>
      <c r="M77" s="0">
        <f>IF(Assumptions!$D$61="Yes",MAX(0,M76-M75),0)</f>
        <v/>
      </c>
      <c r="N77" s="0">
        <f>IF(Assumptions!$D$61="Yes",MAX(0,N76-N75),0)</f>
        <v/>
      </c>
      <c r="O77" s="0">
        <f>IF(Assumptions!$D$61="Yes",MAX(0,O76-O75),0)</f>
        <v/>
      </c>
      <c r="P77" s="0">
        <f>IF(Assumptions!$D$61="Yes",MAX(0,P76-P75),0)</f>
        <v/>
      </c>
      <c r="Q77" s="0">
        <f>IF(Assumptions!$D$61="Yes",MAX(0,Q76-Q75),0)</f>
        <v/>
      </c>
      <c r="R77" s="0">
        <f>IF(Assumptions!$D$61="Yes",MAX(0,R76-R75),0)</f>
        <v/>
      </c>
      <c r="S77" s="0">
        <f>IF(Assumptions!$D$61="Yes",MAX(0,S76-S75),0)</f>
        <v/>
      </c>
      <c r="T77" s="0">
        <f>IF(Assumptions!$D$61="Yes",MAX(0,T76-T75),0)</f>
        <v/>
      </c>
      <c r="U77" s="0">
        <f>IF(Assumptions!$D$61="Yes",MAX(0,U76-U75),0)</f>
        <v/>
      </c>
      <c r="V77" s="0">
        <f>IF(Assumptions!$D$61="Yes",MAX(0,V76-V75),0)</f>
        <v/>
      </c>
      <c r="W77" s="0">
        <f>IF(Assumptions!$D$61="Yes",MAX(0,W76-W75),0)</f>
        <v/>
      </c>
    </row>
    <row r="78" ht="15" customHeight="1" s="103">
      <c r="B78" s="0" t="inlineStr">
        <is>
          <t>Y4 Total Cell Income</t>
        </is>
      </c>
      <c r="C78" s="0">
        <f>C69+C70+C74</f>
        <v/>
      </c>
      <c r="D78" s="0">
        <f>D69+D70+D74</f>
        <v/>
      </c>
      <c r="E78" s="0">
        <f>E69+E70+E74</f>
        <v/>
      </c>
      <c r="F78" s="0">
        <f>F69+F70+F74</f>
        <v/>
      </c>
      <c r="G78" s="0">
        <f>G69+G70+G74</f>
        <v/>
      </c>
      <c r="H78" s="0">
        <f>H69+H70+H74</f>
        <v/>
      </c>
      <c r="I78" s="0">
        <f>I69+I70+I74</f>
        <v/>
      </c>
      <c r="J78" s="0">
        <f>J69+J70+J74</f>
        <v/>
      </c>
      <c r="K78" s="0">
        <f>K69+K70+K74</f>
        <v/>
      </c>
      <c r="L78" s="0">
        <f>L69+L70+L74</f>
        <v/>
      </c>
      <c r="M78" s="0">
        <f>M69+M70+M74</f>
        <v/>
      </c>
      <c r="N78" s="0">
        <f>N69+N70+N74</f>
        <v/>
      </c>
      <c r="O78" s="0">
        <f>O69+O70+O74</f>
        <v/>
      </c>
      <c r="P78" s="0">
        <f>P69+P70+P74</f>
        <v/>
      </c>
      <c r="Q78" s="0">
        <f>Q69+Q70+Q74</f>
        <v/>
      </c>
      <c r="R78" s="0">
        <f>R69+R70+R74</f>
        <v/>
      </c>
      <c r="S78" s="0">
        <f>S69+S70+S74</f>
        <v/>
      </c>
      <c r="T78" s="0">
        <f>T69+T70+T74</f>
        <v/>
      </c>
      <c r="U78" s="0">
        <f>U69+U70+U74</f>
        <v/>
      </c>
      <c r="V78" s="0">
        <f>V69+V70+V74</f>
        <v/>
      </c>
      <c r="W78" s="0">
        <f>W69+W70+W74</f>
        <v/>
      </c>
    </row>
    <row r="79" ht="15" customHeight="1" s="103">
      <c r="B79" s="0" t="inlineStr">
        <is>
          <t>Y4 Dividends</t>
        </is>
      </c>
      <c r="C79" s="0">
        <f>IF(C77&gt;0,0,MAX(0,MIN(C$15*MAX(0,C78),C75-C76)))</f>
        <v/>
      </c>
      <c r="D79" s="0">
        <f>IF(D77&gt;0,0,MAX(0,MIN(D$15*MAX(0,D78),D75-D76)))</f>
        <v/>
      </c>
      <c r="E79" s="0">
        <f>IF(E77&gt;0,0,MAX(0,MIN(E$15*MAX(0,E78),E75-E76)))</f>
        <v/>
      </c>
      <c r="F79" s="0">
        <f>IF(F77&gt;0,0,MAX(0,MIN(F$15*MAX(0,F78),F75-F76)))</f>
        <v/>
      </c>
      <c r="G79" s="0">
        <f>IF(G77&gt;0,0,MAX(0,MIN(G$15*MAX(0,G78),G75-G76)))</f>
        <v/>
      </c>
      <c r="H79" s="0">
        <f>IF(H77&gt;0,0,MAX(0,MIN(H$15*MAX(0,H78),H75-H76)))</f>
        <v/>
      </c>
      <c r="I79" s="0">
        <f>IF(I77&gt;0,0,MAX(0,MIN(I$15*MAX(0,I78),I75-I76)))</f>
        <v/>
      </c>
      <c r="J79" s="0">
        <f>IF(J77&gt;0,0,MAX(0,MIN(J$15*MAX(0,J78),J75-J76)))</f>
        <v/>
      </c>
      <c r="K79" s="0">
        <f>IF(K77&gt;0,0,MAX(0,MIN(K$15*MAX(0,K78),K75-K76)))</f>
        <v/>
      </c>
      <c r="L79" s="0">
        <f>IF(L77&gt;0,0,MAX(0,MIN(L$15*MAX(0,L78),L75-L76)))</f>
        <v/>
      </c>
      <c r="M79" s="0">
        <f>IF(M77&gt;0,0,MAX(0,MIN(M$15*MAX(0,M78),M75-M76)))</f>
        <v/>
      </c>
      <c r="N79" s="0">
        <f>IF(N77&gt;0,0,MAX(0,MIN(N$15*MAX(0,N78),N75-N76)))</f>
        <v/>
      </c>
      <c r="O79" s="0">
        <f>IF(O77&gt;0,0,MAX(0,MIN(O$15*MAX(0,O78),O75-O76)))</f>
        <v/>
      </c>
      <c r="P79" s="0">
        <f>IF(P77&gt;0,0,MAX(0,MIN(P$15*MAX(0,P78),P75-P76)))</f>
        <v/>
      </c>
      <c r="Q79" s="0">
        <f>IF(Q77&gt;0,0,MAX(0,MIN(Q$15*MAX(0,Q78),Q75-Q76)))</f>
        <v/>
      </c>
      <c r="R79" s="0">
        <f>IF(R77&gt;0,0,MAX(0,MIN(R$15*MAX(0,R78),R75-R76)))</f>
        <v/>
      </c>
      <c r="S79" s="0">
        <f>IF(S77&gt;0,0,MAX(0,MIN(S$15*MAX(0,S78),S75-S76)))</f>
        <v/>
      </c>
      <c r="T79" s="0">
        <f>IF(T77&gt;0,0,MAX(0,MIN(T$15*MAX(0,T78),T75-T76)))</f>
        <v/>
      </c>
      <c r="U79" s="0">
        <f>IF(U77&gt;0,0,MAX(0,MIN(U$15*MAX(0,U78),U75-U76)))</f>
        <v/>
      </c>
      <c r="V79" s="0">
        <f>IF(V77&gt;0,0,MAX(0,MIN(V$15*MAX(0,V78),V75-V76)))</f>
        <v/>
      </c>
      <c r="W79" s="0">
        <f>IF(W77&gt;0,0,MAX(0,MIN(W$15*MAX(0,W78),W75-W76)))</f>
        <v/>
      </c>
    </row>
    <row r="80" ht="15" customHeight="1" s="103">
      <c r="B80" s="0" t="inlineStr">
        <is>
          <t>Y4 Ending Equity</t>
        </is>
      </c>
      <c r="C80" s="0">
        <f>C73+C69+C71+C74+C77-C79</f>
        <v/>
      </c>
      <c r="D80" s="0">
        <f>D73+D69+D71+D74+D77-D79</f>
        <v/>
      </c>
      <c r="E80" s="0">
        <f>E73+E69+E71+E74+E77-E79</f>
        <v/>
      </c>
      <c r="F80" s="0">
        <f>F73+F69+F71+F74+F77-F79</f>
        <v/>
      </c>
      <c r="G80" s="0">
        <f>G73+G69+G71+G74+G77-G79</f>
        <v/>
      </c>
      <c r="H80" s="0">
        <f>H73+H69+H71+H74+H77-H79</f>
        <v/>
      </c>
      <c r="I80" s="0">
        <f>I73+I69+I71+I74+I77-I79</f>
        <v/>
      </c>
      <c r="J80" s="0">
        <f>J73+J69+J71+J74+J77-J79</f>
        <v/>
      </c>
      <c r="K80" s="0">
        <f>K73+K69+K71+K74+K77-K79</f>
        <v/>
      </c>
      <c r="L80" s="0">
        <f>L73+L69+L71+L74+L77-L79</f>
        <v/>
      </c>
      <c r="M80" s="0">
        <f>M73+M69+M71+M74+M77-M79</f>
        <v/>
      </c>
      <c r="N80" s="0">
        <f>N73+N69+N71+N74+N77-N79</f>
        <v/>
      </c>
      <c r="O80" s="0">
        <f>O73+O69+O71+O74+O77-O79</f>
        <v/>
      </c>
      <c r="P80" s="0">
        <f>P73+P69+P71+P74+P77-P79</f>
        <v/>
      </c>
      <c r="Q80" s="0">
        <f>Q73+Q69+Q71+Q74+Q77-Q79</f>
        <v/>
      </c>
      <c r="R80" s="0">
        <f>R73+R69+R71+R74+R77-R79</f>
        <v/>
      </c>
      <c r="S80" s="0">
        <f>S73+S69+S71+S74+S77-S79</f>
        <v/>
      </c>
      <c r="T80" s="0">
        <f>T73+T69+T71+T74+T77-T79</f>
        <v/>
      </c>
      <c r="U80" s="0">
        <f>U73+U69+U71+U74+U77-U79</f>
        <v/>
      </c>
      <c r="V80" s="0">
        <f>V73+V69+V71+V74+V77-V79</f>
        <v/>
      </c>
      <c r="W80" s="0">
        <f>W73+W69+W71+W74+W77-W79</f>
        <v/>
      </c>
    </row>
    <row r="81" ht="15" customHeight="1" s="103">
      <c r="B81" s="0" t="inlineStr">
        <is>
          <t>Y4 Available Equity</t>
        </is>
      </c>
      <c r="C81" s="0">
        <f>C80-C72</f>
        <v/>
      </c>
      <c r="D81" s="0">
        <f>D80-D72</f>
        <v/>
      </c>
      <c r="E81" s="0">
        <f>E80-E72</f>
        <v/>
      </c>
      <c r="F81" s="0">
        <f>F80-F72</f>
        <v/>
      </c>
      <c r="G81" s="0">
        <f>G80-G72</f>
        <v/>
      </c>
      <c r="H81" s="0">
        <f>H80-H72</f>
        <v/>
      </c>
      <c r="I81" s="0">
        <f>I80-I72</f>
        <v/>
      </c>
      <c r="J81" s="0">
        <f>J80-J72</f>
        <v/>
      </c>
      <c r="K81" s="0">
        <f>K80-K72</f>
        <v/>
      </c>
      <c r="L81" s="0">
        <f>L80-L72</f>
        <v/>
      </c>
      <c r="M81" s="0">
        <f>M80-M72</f>
        <v/>
      </c>
      <c r="N81" s="0">
        <f>N80-N72</f>
        <v/>
      </c>
      <c r="O81" s="0">
        <f>O80-O72</f>
        <v/>
      </c>
      <c r="P81" s="0">
        <f>P80-P72</f>
        <v/>
      </c>
      <c r="Q81" s="0">
        <f>Q80-Q72</f>
        <v/>
      </c>
      <c r="R81" s="0">
        <f>R80-R72</f>
        <v/>
      </c>
      <c r="S81" s="0">
        <f>S80-S72</f>
        <v/>
      </c>
      <c r="T81" s="0">
        <f>T80-T72</f>
        <v/>
      </c>
      <c r="U81" s="0">
        <f>U80-U72</f>
        <v/>
      </c>
      <c r="V81" s="0">
        <f>V80-V72</f>
        <v/>
      </c>
      <c r="W81" s="0">
        <f>W80-W72</f>
        <v/>
      </c>
    </row>
    <row r="82" ht="15" customHeight="1" s="103">
      <c r="B82" s="0" t="inlineStr">
        <is>
          <t>Y4 Net Annual Cash</t>
        </is>
      </c>
      <c r="C82" s="0">
        <f>-Captive!$F$7-C77+C79</f>
        <v/>
      </c>
      <c r="D82" s="0">
        <f>-Captive!$F$7-D77+D79</f>
        <v/>
      </c>
      <c r="E82" s="0">
        <f>-Captive!$F$7-E77+E79</f>
        <v/>
      </c>
      <c r="F82" s="0">
        <f>-Captive!$F$7-F77+F79</f>
        <v/>
      </c>
      <c r="G82" s="0">
        <f>-Captive!$F$7-G77+G79</f>
        <v/>
      </c>
      <c r="H82" s="0">
        <f>-Captive!$F$7-H77+H79</f>
        <v/>
      </c>
      <c r="I82" s="0">
        <f>-Captive!$F$7-I77+I79</f>
        <v/>
      </c>
      <c r="J82" s="0">
        <f>-Captive!$F$7-J77+J79</f>
        <v/>
      </c>
      <c r="K82" s="0">
        <f>-Captive!$F$7-K77+K79</f>
        <v/>
      </c>
      <c r="L82" s="0">
        <f>-Captive!$F$7-L77+L79</f>
        <v/>
      </c>
      <c r="M82" s="0">
        <f>-Captive!$F$7-M77+M79</f>
        <v/>
      </c>
      <c r="N82" s="0">
        <f>-Captive!$F$7-N77+N79</f>
        <v/>
      </c>
      <c r="O82" s="0">
        <f>-Captive!$F$7-O77+O79</f>
        <v/>
      </c>
      <c r="P82" s="0">
        <f>-Captive!$F$7-P77+P79</f>
        <v/>
      </c>
      <c r="Q82" s="0">
        <f>-Captive!$F$7-Q77+Q79</f>
        <v/>
      </c>
      <c r="R82" s="0">
        <f>-Captive!$F$7-R77+R79</f>
        <v/>
      </c>
      <c r="S82" s="0">
        <f>-Captive!$F$7-S77+S79</f>
        <v/>
      </c>
      <c r="T82" s="0">
        <f>-Captive!$F$7-T77+T79</f>
        <v/>
      </c>
      <c r="U82" s="0">
        <f>-Captive!$F$7-U77+U79</f>
        <v/>
      </c>
      <c r="V82" s="0">
        <f>-Captive!$F$7-V77+V79</f>
        <v/>
      </c>
      <c r="W82" s="0">
        <f>-Captive!$F$7-W77+W79</f>
        <v/>
      </c>
    </row>
    <row r="83" ht="15" customHeight="1" s="103">
      <c r="B83" s="0" t="inlineStr">
        <is>
          <t>Y4 Cumulative Net Cash</t>
        </is>
      </c>
      <c r="C83" s="0">
        <f>C67+C82</f>
        <v/>
      </c>
      <c r="D83" s="0">
        <f>D67+D82</f>
        <v/>
      </c>
      <c r="E83" s="0">
        <f>E67+E82</f>
        <v/>
      </c>
      <c r="F83" s="0">
        <f>F67+F82</f>
        <v/>
      </c>
      <c r="G83" s="0">
        <f>G67+G82</f>
        <v/>
      </c>
      <c r="H83" s="0">
        <f>H67+H82</f>
        <v/>
      </c>
      <c r="I83" s="0">
        <f>I67+I82</f>
        <v/>
      </c>
      <c r="J83" s="0">
        <f>J67+J82</f>
        <v/>
      </c>
      <c r="K83" s="0">
        <f>K67+K82</f>
        <v/>
      </c>
      <c r="L83" s="0">
        <f>L67+L82</f>
        <v/>
      </c>
      <c r="M83" s="0">
        <f>M67+M82</f>
        <v/>
      </c>
      <c r="N83" s="0">
        <f>N67+N82</f>
        <v/>
      </c>
      <c r="O83" s="0">
        <f>O67+O82</f>
        <v/>
      </c>
      <c r="P83" s="0">
        <f>P67+P82</f>
        <v/>
      </c>
      <c r="Q83" s="0">
        <f>Q67+Q82</f>
        <v/>
      </c>
      <c r="R83" s="0">
        <f>R67+R82</f>
        <v/>
      </c>
      <c r="S83" s="0">
        <f>S67+S82</f>
        <v/>
      </c>
      <c r="T83" s="0">
        <f>T67+T82</f>
        <v/>
      </c>
      <c r="U83" s="0">
        <f>U67+U82</f>
        <v/>
      </c>
      <c r="V83" s="0">
        <f>V67+V82</f>
        <v/>
      </c>
      <c r="W83" s="0">
        <f>W67+W82</f>
        <v/>
      </c>
    </row>
    <row r="84" ht="15" customHeight="1" s="103">
      <c r="B84" s="0" t="inlineStr">
        <is>
          <t>Y5 Gross Premium</t>
        </is>
      </c>
      <c r="C84" s="0">
        <f t="array" ref="C84">Captive!$G$7</f>
        <v/>
      </c>
      <c r="D84" s="0">
        <f t="array" ref="D84">Captive!$G$7</f>
        <v/>
      </c>
      <c r="E84" s="0">
        <f t="array" ref="E84">Captive!$G$7</f>
        <v/>
      </c>
      <c r="F84" s="0">
        <f t="array" ref="F84">Captive!$G$7</f>
        <v/>
      </c>
      <c r="G84" s="0">
        <f t="array" ref="G84">Captive!$G$7</f>
        <v/>
      </c>
      <c r="H84" s="0">
        <f t="array" ref="H84">Captive!$G$7</f>
        <v/>
      </c>
      <c r="I84" s="0">
        <f t="array" ref="I84">Captive!$G$7</f>
        <v/>
      </c>
      <c r="J84" s="0">
        <f t="array" ref="J84">Captive!$G$7</f>
        <v/>
      </c>
      <c r="K84" s="0">
        <f t="array" ref="K84">Captive!$G$7</f>
        <v/>
      </c>
      <c r="L84" s="0">
        <f t="array" ref="L84">Captive!$G$7</f>
        <v/>
      </c>
      <c r="M84" s="0">
        <f t="array" ref="M84">Captive!$G$7</f>
        <v/>
      </c>
      <c r="N84" s="0">
        <f t="array" ref="N84">Captive!$G$7</f>
        <v/>
      </c>
      <c r="O84" s="0">
        <f t="array" ref="O84">Captive!$G$7</f>
        <v/>
      </c>
      <c r="P84" s="0">
        <f t="array" ref="P84">Captive!$G$7</f>
        <v/>
      </c>
      <c r="Q84" s="0">
        <f t="array" ref="Q84">Captive!$G$7</f>
        <v/>
      </c>
      <c r="R84" s="0">
        <f t="array" ref="R84">Captive!$G$7</f>
        <v/>
      </c>
      <c r="S84" s="0">
        <f t="array" ref="S84">Captive!$G$7</f>
        <v/>
      </c>
      <c r="T84" s="0">
        <f t="array" ref="T84">Captive!$G$7</f>
        <v/>
      </c>
      <c r="U84" s="0">
        <f t="array" ref="U84">Captive!$G$7</f>
        <v/>
      </c>
      <c r="V84" s="0">
        <f t="array" ref="V84">Captive!$G$7</f>
        <v/>
      </c>
      <c r="W84" s="0">
        <f t="array" ref="W84">Captive!$G$7</f>
        <v/>
      </c>
    </row>
    <row r="85" ht="15" customHeight="1" s="103">
      <c r="B85" s="0" t="inlineStr">
        <is>
          <t>Y5 Net Retained Premium</t>
        </is>
      </c>
      <c r="C85" s="0">
        <f>C84*(1-Assumptions!$D$19-C$13-C$14)</f>
        <v/>
      </c>
      <c r="D85" s="0">
        <f>D84*(1-Assumptions!$D$19-D$13-D$14)</f>
        <v/>
      </c>
      <c r="E85" s="0">
        <f>E84*(1-Assumptions!$D$19-E$13-E$14)</f>
        <v/>
      </c>
      <c r="F85" s="0">
        <f>F84*(1-Assumptions!$D$19-F$13-F$14)</f>
        <v/>
      </c>
      <c r="G85" s="0">
        <f>G84*(1-Assumptions!$D$19-G$13-G$14)</f>
        <v/>
      </c>
      <c r="H85" s="0">
        <f>H84*(1-Assumptions!$D$19-H$13-H$14)</f>
        <v/>
      </c>
      <c r="I85" s="0">
        <f>I84*(1-Assumptions!$D$19-I$13-I$14)</f>
        <v/>
      </c>
      <c r="J85" s="0">
        <f>J84*(1-Assumptions!$D$19-J$13-J$14)</f>
        <v/>
      </c>
      <c r="K85" s="0">
        <f>K84*(1-Assumptions!$D$19-K$13-K$14)</f>
        <v/>
      </c>
      <c r="L85" s="0">
        <f>L84*(1-Assumptions!$D$19-L$13-L$14)</f>
        <v/>
      </c>
      <c r="M85" s="0">
        <f>M84*(1-Assumptions!$D$19-M$13-M$14)</f>
        <v/>
      </c>
      <c r="N85" s="0">
        <f>N84*(1-Assumptions!$D$19-N$13-N$14)</f>
        <v/>
      </c>
      <c r="O85" s="0">
        <f>O84*(1-Assumptions!$D$19-O$13-O$14)</f>
        <v/>
      </c>
      <c r="P85" s="0">
        <f>P84*(1-Assumptions!$D$19-P$13-P$14)</f>
        <v/>
      </c>
      <c r="Q85" s="0">
        <f>Q84*(1-Assumptions!$D$19-Q$13-Q$14)</f>
        <v/>
      </c>
      <c r="R85" s="0">
        <f>R84*(1-Assumptions!$D$19-R$13-R$14)</f>
        <v/>
      </c>
      <c r="S85" s="0">
        <f>S84*(1-Assumptions!$D$19-S$13-S$14)</f>
        <v/>
      </c>
      <c r="T85" s="0">
        <f>T84*(1-Assumptions!$D$19-T$13-T$14)</f>
        <v/>
      </c>
      <c r="U85" s="0">
        <f>U84*(1-Assumptions!$D$19-U$13-U$14)</f>
        <v/>
      </c>
      <c r="V85" s="0">
        <f>V84*(1-Assumptions!$D$19-V$13-V$14)</f>
        <v/>
      </c>
      <c r="W85" s="0">
        <f>W84*(1-Assumptions!$D$19-W$13-W$14)</f>
        <v/>
      </c>
    </row>
    <row r="86" ht="15" customHeight="1" s="103">
      <c r="B86" s="0" t="inlineStr">
        <is>
          <t>Y5 Losses Incurred</t>
        </is>
      </c>
      <c r="C86" s="0">
        <f>-C85*Assumptions!$D$35*C$11</f>
        <v/>
      </c>
      <c r="D86" s="0">
        <f>-D85*Assumptions!$D$35*D$11</f>
        <v/>
      </c>
      <c r="E86" s="0">
        <f>-E85*Assumptions!$D$35*E$11</f>
        <v/>
      </c>
      <c r="F86" s="0">
        <f>-F85*Assumptions!$D$35*F$11</f>
        <v/>
      </c>
      <c r="G86" s="0">
        <f>-G85*Assumptions!$D$35*G$11</f>
        <v/>
      </c>
      <c r="H86" s="0">
        <f>-H85*Assumptions!$D$35*H$11</f>
        <v/>
      </c>
      <c r="I86" s="0">
        <f>-I85*Assumptions!$D$35*I$11</f>
        <v/>
      </c>
      <c r="J86" s="0">
        <f>-J85*Assumptions!$D$35*J$11</f>
        <v/>
      </c>
      <c r="K86" s="0">
        <f>-K85*Assumptions!$D$35*K$11</f>
        <v/>
      </c>
      <c r="L86" s="0">
        <f>-L85*Assumptions!$D$35*L$11</f>
        <v/>
      </c>
      <c r="M86" s="0">
        <f>-M85*Assumptions!$D$35*M$11</f>
        <v/>
      </c>
      <c r="N86" s="0">
        <f>-N85*Assumptions!$D$35*N$11</f>
        <v/>
      </c>
      <c r="O86" s="0">
        <f>-O85*Assumptions!$D$35*O$11</f>
        <v/>
      </c>
      <c r="P86" s="0">
        <f>-P85*Assumptions!$D$35*P$11</f>
        <v/>
      </c>
      <c r="Q86" s="0">
        <f>-Q85*Assumptions!$D$35*Q$11</f>
        <v/>
      </c>
      <c r="R86" s="0">
        <f>-R85*Assumptions!$D$35*R$11</f>
        <v/>
      </c>
      <c r="S86" s="0">
        <f>-S85*Assumptions!$D$35*S$11</f>
        <v/>
      </c>
      <c r="T86" s="0">
        <f>-T85*Assumptions!$D$35*T$11</f>
        <v/>
      </c>
      <c r="U86" s="0">
        <f>-U85*Assumptions!$D$35*U$11</f>
        <v/>
      </c>
      <c r="V86" s="0">
        <f>-V85*Assumptions!$D$35*V$11</f>
        <v/>
      </c>
      <c r="W86" s="0">
        <f>-W85*Assumptions!$D$35*W$11</f>
        <v/>
      </c>
    </row>
    <row r="87" ht="15" customHeight="1" s="103">
      <c r="B87" s="0" t="inlineStr">
        <is>
          <t>Y5 Claims Paid</t>
        </is>
      </c>
      <c r="C87" s="0">
        <f>C86*Assumptions!$D$53+C70*Assumptions!$D$54+C54*Assumptions!$D$55+C38*Assumptions!$D$56</f>
        <v/>
      </c>
      <c r="D87" s="0">
        <f>D86*Assumptions!$D$53+D70*Assumptions!$D$54+D54*Assumptions!$D$55+D38*Assumptions!$D$56</f>
        <v/>
      </c>
      <c r="E87" s="0">
        <f>E86*Assumptions!$D$53+E70*Assumptions!$D$54+E54*Assumptions!$D$55+E38*Assumptions!$D$56</f>
        <v/>
      </c>
      <c r="F87" s="0">
        <f>F86*Assumptions!$D$53+F70*Assumptions!$D$54+F54*Assumptions!$D$55+F38*Assumptions!$D$56</f>
        <v/>
      </c>
      <c r="G87" s="0">
        <f>G86*Assumptions!$D$53+G70*Assumptions!$D$54+G54*Assumptions!$D$55+G38*Assumptions!$D$56</f>
        <v/>
      </c>
      <c r="H87" s="0">
        <f>H86*Assumptions!$D$53+H70*Assumptions!$D$54+H54*Assumptions!$D$55+H38*Assumptions!$D$56</f>
        <v/>
      </c>
      <c r="I87" s="0">
        <f>I86*Assumptions!$D$53+I70*Assumptions!$D$54+I54*Assumptions!$D$55+I38*Assumptions!$D$56</f>
        <v/>
      </c>
      <c r="J87" s="0">
        <f>J86*Assumptions!$D$53+J70*Assumptions!$D$54+J54*Assumptions!$D$55+J38*Assumptions!$D$56</f>
        <v/>
      </c>
      <c r="K87" s="0">
        <f>K86*Assumptions!$D$53+K70*Assumptions!$D$54+K54*Assumptions!$D$55+K38*Assumptions!$D$56</f>
        <v/>
      </c>
      <c r="L87" s="0">
        <f>L86*Assumptions!$D$53+L70*Assumptions!$D$54+L54*Assumptions!$D$55+L38*Assumptions!$D$56</f>
        <v/>
      </c>
      <c r="M87" s="0">
        <f>M86*Assumptions!$D$53+M70*Assumptions!$D$54+M54*Assumptions!$D$55+M38*Assumptions!$D$56</f>
        <v/>
      </c>
      <c r="N87" s="0">
        <f>N86*Assumptions!$D$53+N70*Assumptions!$D$54+N54*Assumptions!$D$55+N38*Assumptions!$D$56</f>
        <v/>
      </c>
      <c r="O87" s="0">
        <f>O86*Assumptions!$D$53+O70*Assumptions!$D$54+O54*Assumptions!$D$55+O38*Assumptions!$D$56</f>
        <v/>
      </c>
      <c r="P87" s="0">
        <f>P86*Assumptions!$D$53+P70*Assumptions!$D$54+P54*Assumptions!$D$55+P38*Assumptions!$D$56</f>
        <v/>
      </c>
      <c r="Q87" s="0">
        <f>Q86*Assumptions!$D$53+Q70*Assumptions!$D$54+Q54*Assumptions!$D$55+Q38*Assumptions!$D$56</f>
        <v/>
      </c>
      <c r="R87" s="0">
        <f>R86*Assumptions!$D$53+R70*Assumptions!$D$54+R54*Assumptions!$D$55+R38*Assumptions!$D$56</f>
        <v/>
      </c>
      <c r="S87" s="0">
        <f>S86*Assumptions!$D$53+S70*Assumptions!$D$54+S54*Assumptions!$D$55+S38*Assumptions!$D$56</f>
        <v/>
      </c>
      <c r="T87" s="0">
        <f>T86*Assumptions!$D$53+T70*Assumptions!$D$54+T54*Assumptions!$D$55+T38*Assumptions!$D$56</f>
        <v/>
      </c>
      <c r="U87" s="0">
        <f>U86*Assumptions!$D$53+U70*Assumptions!$D$54+U54*Assumptions!$D$55+U38*Assumptions!$D$56</f>
        <v/>
      </c>
      <c r="V87" s="0">
        <f>V86*Assumptions!$D$53+V70*Assumptions!$D$54+V54*Assumptions!$D$55+V38*Assumptions!$D$56</f>
        <v/>
      </c>
      <c r="W87" s="0">
        <f>W86*Assumptions!$D$53+W70*Assumptions!$D$54+W54*Assumptions!$D$55+W38*Assumptions!$D$56</f>
        <v/>
      </c>
    </row>
    <row r="88" ht="15" customHeight="1" s="103">
      <c r="B88" s="0" t="inlineStr">
        <is>
          <t>Y5 Ending Loss Reserves</t>
        </is>
      </c>
      <c r="C88" s="0">
        <f>C72+C87-C86</f>
        <v/>
      </c>
      <c r="D88" s="0">
        <f>D72+D87-D86</f>
        <v/>
      </c>
      <c r="E88" s="0">
        <f>E72+E87-E86</f>
        <v/>
      </c>
      <c r="F88" s="0">
        <f>F72+F87-F86</f>
        <v/>
      </c>
      <c r="G88" s="0">
        <f>G72+G87-G86</f>
        <v/>
      </c>
      <c r="H88" s="0">
        <f>H72+H87-H86</f>
        <v/>
      </c>
      <c r="I88" s="0">
        <f>I72+I87-I86</f>
        <v/>
      </c>
      <c r="J88" s="0">
        <f>J72+J87-J86</f>
        <v/>
      </c>
      <c r="K88" s="0">
        <f>K72+K87-K86</f>
        <v/>
      </c>
      <c r="L88" s="0">
        <f>L72+L87-L86</f>
        <v/>
      </c>
      <c r="M88" s="0">
        <f>M72+M87-M86</f>
        <v/>
      </c>
      <c r="N88" s="0">
        <f>N72+N87-N86</f>
        <v/>
      </c>
      <c r="O88" s="0">
        <f>O72+O87-O86</f>
        <v/>
      </c>
      <c r="P88" s="0">
        <f>P72+P87-P86</f>
        <v/>
      </c>
      <c r="Q88" s="0">
        <f>Q72+Q87-Q86</f>
        <v/>
      </c>
      <c r="R88" s="0">
        <f>R72+R87-R86</f>
        <v/>
      </c>
      <c r="S88" s="0">
        <f>S72+S87-S86</f>
        <v/>
      </c>
      <c r="T88" s="0">
        <f>T72+T87-T86</f>
        <v/>
      </c>
      <c r="U88" s="0">
        <f>U72+U87-U86</f>
        <v/>
      </c>
      <c r="V88" s="0">
        <f>V72+V87-V86</f>
        <v/>
      </c>
      <c r="W88" s="0">
        <f>W72+W87-W86</f>
        <v/>
      </c>
    </row>
    <row r="89" ht="15" customHeight="1" s="103">
      <c r="B89" s="0" t="inlineStr">
        <is>
          <t>Y5 Beginning Equity</t>
        </is>
      </c>
      <c r="C89" s="0">
        <f t="array" ref="C89">C80</f>
        <v/>
      </c>
      <c r="D89" s="0">
        <f t="array" ref="D89">D80</f>
        <v/>
      </c>
      <c r="E89" s="0">
        <f t="array" ref="E89">E80</f>
        <v/>
      </c>
      <c r="F89" s="0">
        <f t="array" ref="F89">F80</f>
        <v/>
      </c>
      <c r="G89" s="0">
        <f t="array" ref="G89">G80</f>
        <v/>
      </c>
      <c r="H89" s="0">
        <f t="array" ref="H89">H80</f>
        <v/>
      </c>
      <c r="I89" s="0">
        <f t="array" ref="I89">I80</f>
        <v/>
      </c>
      <c r="J89" s="0">
        <f t="array" ref="J89">J80</f>
        <v/>
      </c>
      <c r="K89" s="0">
        <f t="array" ref="K89">K80</f>
        <v/>
      </c>
      <c r="L89" s="0">
        <f t="array" ref="L89">L80</f>
        <v/>
      </c>
      <c r="M89" s="0">
        <f t="array" ref="M89">M80</f>
        <v/>
      </c>
      <c r="N89" s="0">
        <f t="array" ref="N89">N80</f>
        <v/>
      </c>
      <c r="O89" s="0">
        <f t="array" ref="O89">O80</f>
        <v/>
      </c>
      <c r="P89" s="0">
        <f t="array" ref="P89">P80</f>
        <v/>
      </c>
      <c r="Q89" s="0">
        <f t="array" ref="Q89">Q80</f>
        <v/>
      </c>
      <c r="R89" s="0">
        <f t="array" ref="R89">R80</f>
        <v/>
      </c>
      <c r="S89" s="0">
        <f t="array" ref="S89">S80</f>
        <v/>
      </c>
      <c r="T89" s="0">
        <f t="array" ref="T89">T80</f>
        <v/>
      </c>
      <c r="U89" s="0">
        <f t="array" ref="U89">U80</f>
        <v/>
      </c>
      <c r="V89" s="0">
        <f t="array" ref="V89">V80</f>
        <v/>
      </c>
      <c r="W89" s="0">
        <f t="array" ref="W89">W80</f>
        <v/>
      </c>
    </row>
    <row r="90" ht="15" customHeight="1" s="103">
      <c r="B90" s="0" t="inlineStr">
        <is>
          <t>Y5 Investment Income</t>
        </is>
      </c>
      <c r="C90" s="0">
        <f>C89*C$17</f>
        <v/>
      </c>
      <c r="D90" s="0">
        <f>D89*D$17</f>
        <v/>
      </c>
      <c r="E90" s="0">
        <f>E89*E$17</f>
        <v/>
      </c>
      <c r="F90" s="0">
        <f>F89*F$17</f>
        <v/>
      </c>
      <c r="G90" s="0">
        <f>G89*G$17</f>
        <v/>
      </c>
      <c r="H90" s="0">
        <f>H89*H$17</f>
        <v/>
      </c>
      <c r="I90" s="0">
        <f>I89*I$17</f>
        <v/>
      </c>
      <c r="J90" s="0">
        <f>J89*J$17</f>
        <v/>
      </c>
      <c r="K90" s="0">
        <f>K89*K$17</f>
        <v/>
      </c>
      <c r="L90" s="0">
        <f>L89*L$17</f>
        <v/>
      </c>
      <c r="M90" s="0">
        <f>M89*M$17</f>
        <v/>
      </c>
      <c r="N90" s="0">
        <f>N89*N$17</f>
        <v/>
      </c>
      <c r="O90" s="0">
        <f>O89*O$17</f>
        <v/>
      </c>
      <c r="P90" s="0">
        <f>P89*P$17</f>
        <v/>
      </c>
      <c r="Q90" s="0">
        <f>Q89*Q$17</f>
        <v/>
      </c>
      <c r="R90" s="0">
        <f>R89*R$17</f>
        <v/>
      </c>
      <c r="S90" s="0">
        <f>S89*S$17</f>
        <v/>
      </c>
      <c r="T90" s="0">
        <f>T89*T$17</f>
        <v/>
      </c>
      <c r="U90" s="0">
        <f>U89*U$17</f>
        <v/>
      </c>
      <c r="V90" s="0">
        <f>V89*V$17</f>
        <v/>
      </c>
      <c r="W90" s="0">
        <f>W89*W$17</f>
        <v/>
      </c>
    </row>
    <row r="91" ht="15" customHeight="1" s="103">
      <c r="B91" s="0" t="inlineStr">
        <is>
          <t>Y5 Avail Equity pre-Call/Div</t>
        </is>
      </c>
      <c r="C91" s="0">
        <f>C89+C85+C87+C90-C88</f>
        <v/>
      </c>
      <c r="D91" s="0">
        <f>D89+D85+D87+D90-D88</f>
        <v/>
      </c>
      <c r="E91" s="0">
        <f>E89+E85+E87+E90-E88</f>
        <v/>
      </c>
      <c r="F91" s="0">
        <f>F89+F85+F87+F90-F88</f>
        <v/>
      </c>
      <c r="G91" s="0">
        <f>G89+G85+G87+G90-G88</f>
        <v/>
      </c>
      <c r="H91" s="0">
        <f>H89+H85+H87+H90-H88</f>
        <v/>
      </c>
      <c r="I91" s="0">
        <f>I89+I85+I87+I90-I88</f>
        <v/>
      </c>
      <c r="J91" s="0">
        <f>J89+J85+J87+J90-J88</f>
        <v/>
      </c>
      <c r="K91" s="0">
        <f>K89+K85+K87+K90-K88</f>
        <v/>
      </c>
      <c r="L91" s="0">
        <f>L89+L85+L87+L90-L88</f>
        <v/>
      </c>
      <c r="M91" s="0">
        <f>M89+M85+M87+M90-M88</f>
        <v/>
      </c>
      <c r="N91" s="0">
        <f>N89+N85+N87+N90-N88</f>
        <v/>
      </c>
      <c r="O91" s="0">
        <f>O89+O85+O87+O90-O88</f>
        <v/>
      </c>
      <c r="P91" s="0">
        <f>P89+P85+P87+P90-P88</f>
        <v/>
      </c>
      <c r="Q91" s="0">
        <f>Q89+Q85+Q87+Q90-Q88</f>
        <v/>
      </c>
      <c r="R91" s="0">
        <f>R89+R85+R87+R90-R88</f>
        <v/>
      </c>
      <c r="S91" s="0">
        <f>S89+S85+S87+S90-S88</f>
        <v/>
      </c>
      <c r="T91" s="0">
        <f>T89+T85+T87+T90-T88</f>
        <v/>
      </c>
      <c r="U91" s="0">
        <f>U89+U85+U87+U90-U88</f>
        <v/>
      </c>
      <c r="V91" s="0">
        <f>V89+V85+V87+V90-V88</f>
        <v/>
      </c>
      <c r="W91" s="0">
        <f>W89+W85+W87+W90-W88</f>
        <v/>
      </c>
    </row>
    <row r="92" ht="15" customHeight="1" s="103">
      <c r="B92" s="0" t="inlineStr">
        <is>
          <t>Y5 Min Capital Requirement</t>
        </is>
      </c>
      <c r="C92" s="0">
        <f>Assumptions!$D$60*C85*(1+Assumptions!$D$9)*(1+Assumptions!$D$43)</f>
        <v/>
      </c>
      <c r="D92" s="0">
        <f>Assumptions!$D$60*D85*(1+Assumptions!$D$9)*(1+Assumptions!$D$43)</f>
        <v/>
      </c>
      <c r="E92" s="0">
        <f>Assumptions!$D$60*E85*(1+Assumptions!$D$9)*(1+Assumptions!$D$43)</f>
        <v/>
      </c>
      <c r="F92" s="0">
        <f>Assumptions!$D$60*F85*(1+Assumptions!$D$9)*(1+Assumptions!$D$43)</f>
        <v/>
      </c>
      <c r="G92" s="0">
        <f>Assumptions!$D$60*G85*(1+Assumptions!$D$9)*(1+Assumptions!$D$43)</f>
        <v/>
      </c>
      <c r="H92" s="0">
        <f>Assumptions!$D$60*H85*(1+Assumptions!$D$9)*(1+Assumptions!$D$43)</f>
        <v/>
      </c>
      <c r="I92" s="0">
        <f>Assumptions!$D$60*I85*(1+Assumptions!$D$9)*(1+Assumptions!$D$43)</f>
        <v/>
      </c>
      <c r="J92" s="0">
        <f>Assumptions!$D$60*J85*(1+Assumptions!$D$9)*(1+Assumptions!$D$43)</f>
        <v/>
      </c>
      <c r="K92" s="0">
        <f>Assumptions!$D$60*K85*(1+Assumptions!$D$9)*(1+Assumptions!$D$43)</f>
        <v/>
      </c>
      <c r="L92" s="0">
        <f>Assumptions!$D$60*L85*(1+Assumptions!$D$9)*(1+Assumptions!$D$43)</f>
        <v/>
      </c>
      <c r="M92" s="0">
        <f>Assumptions!$D$60*M85*(1+Assumptions!$D$9)*(1+Assumptions!$D$43)</f>
        <v/>
      </c>
      <c r="N92" s="0">
        <f>Assumptions!$D$60*N85*(1+Assumptions!$D$9)*(1+Assumptions!$D$43)</f>
        <v/>
      </c>
      <c r="O92" s="0">
        <f>Assumptions!$D$60*O85*(1+Assumptions!$D$9)*(1+Assumptions!$D$43)</f>
        <v/>
      </c>
      <c r="P92" s="0">
        <f>Assumptions!$D$60*P85*(1+Assumptions!$D$9)*(1+Assumptions!$D$43)</f>
        <v/>
      </c>
      <c r="Q92" s="0">
        <f>Assumptions!$D$60*Q85*(1+Assumptions!$D$9)*(1+Assumptions!$D$43)</f>
        <v/>
      </c>
      <c r="R92" s="0">
        <f>Assumptions!$D$60*R85*(1+Assumptions!$D$9)*(1+Assumptions!$D$43)</f>
        <v/>
      </c>
      <c r="S92" s="0">
        <f>Assumptions!$D$60*S85*(1+Assumptions!$D$9)*(1+Assumptions!$D$43)</f>
        <v/>
      </c>
      <c r="T92" s="0">
        <f>Assumptions!$D$60*T85*(1+Assumptions!$D$9)*(1+Assumptions!$D$43)</f>
        <v/>
      </c>
      <c r="U92" s="0">
        <f>Assumptions!$D$60*U85*(1+Assumptions!$D$9)*(1+Assumptions!$D$43)</f>
        <v/>
      </c>
      <c r="V92" s="0">
        <f>Assumptions!$D$60*V85*(1+Assumptions!$D$9)*(1+Assumptions!$D$43)</f>
        <v/>
      </c>
      <c r="W92" s="0">
        <f>Assumptions!$D$60*W85*(1+Assumptions!$D$9)*(1+Assumptions!$D$43)</f>
        <v/>
      </c>
    </row>
    <row r="93" ht="15" customHeight="1" s="103">
      <c r="B93" s="0" t="inlineStr">
        <is>
          <t>Y5 Capital Call</t>
        </is>
      </c>
      <c r="C93" s="0">
        <f>IF(Assumptions!$D$61="Yes",MAX(0,C92-C91),0)</f>
        <v/>
      </c>
      <c r="D93" s="0">
        <f>IF(Assumptions!$D$61="Yes",MAX(0,D92-D91),0)</f>
        <v/>
      </c>
      <c r="E93" s="0">
        <f>IF(Assumptions!$D$61="Yes",MAX(0,E92-E91),0)</f>
        <v/>
      </c>
      <c r="F93" s="0">
        <f>IF(Assumptions!$D$61="Yes",MAX(0,F92-F91),0)</f>
        <v/>
      </c>
      <c r="G93" s="0">
        <f>IF(Assumptions!$D$61="Yes",MAX(0,G92-G91),0)</f>
        <v/>
      </c>
      <c r="H93" s="0">
        <f>IF(Assumptions!$D$61="Yes",MAX(0,H92-H91),0)</f>
        <v/>
      </c>
      <c r="I93" s="0">
        <f>IF(Assumptions!$D$61="Yes",MAX(0,I92-I91),0)</f>
        <v/>
      </c>
      <c r="J93" s="0">
        <f>IF(Assumptions!$D$61="Yes",MAX(0,J92-J91),0)</f>
        <v/>
      </c>
      <c r="K93" s="0">
        <f>IF(Assumptions!$D$61="Yes",MAX(0,K92-K91),0)</f>
        <v/>
      </c>
      <c r="L93" s="0">
        <f>IF(Assumptions!$D$61="Yes",MAX(0,L92-L91),0)</f>
        <v/>
      </c>
      <c r="M93" s="0">
        <f>IF(Assumptions!$D$61="Yes",MAX(0,M92-M91),0)</f>
        <v/>
      </c>
      <c r="N93" s="0">
        <f>IF(Assumptions!$D$61="Yes",MAX(0,N92-N91),0)</f>
        <v/>
      </c>
      <c r="O93" s="0">
        <f>IF(Assumptions!$D$61="Yes",MAX(0,O92-O91),0)</f>
        <v/>
      </c>
      <c r="P93" s="0">
        <f>IF(Assumptions!$D$61="Yes",MAX(0,P92-P91),0)</f>
        <v/>
      </c>
      <c r="Q93" s="0">
        <f>IF(Assumptions!$D$61="Yes",MAX(0,Q92-Q91),0)</f>
        <v/>
      </c>
      <c r="R93" s="0">
        <f>IF(Assumptions!$D$61="Yes",MAX(0,R92-R91),0)</f>
        <v/>
      </c>
      <c r="S93" s="0">
        <f>IF(Assumptions!$D$61="Yes",MAX(0,S92-S91),0)</f>
        <v/>
      </c>
      <c r="T93" s="0">
        <f>IF(Assumptions!$D$61="Yes",MAX(0,T92-T91),0)</f>
        <v/>
      </c>
      <c r="U93" s="0">
        <f>IF(Assumptions!$D$61="Yes",MAX(0,U92-U91),0)</f>
        <v/>
      </c>
      <c r="V93" s="0">
        <f>IF(Assumptions!$D$61="Yes",MAX(0,V92-V91),0)</f>
        <v/>
      </c>
      <c r="W93" s="0">
        <f>IF(Assumptions!$D$61="Yes",MAX(0,W92-W91),0)</f>
        <v/>
      </c>
    </row>
    <row r="94" ht="15" customHeight="1" s="103">
      <c r="B94" s="0" t="inlineStr">
        <is>
          <t>Y5 Total Cell Income</t>
        </is>
      </c>
      <c r="C94" s="0">
        <f>C85+C86+C90</f>
        <v/>
      </c>
      <c r="D94" s="0">
        <f>D85+D86+D90</f>
        <v/>
      </c>
      <c r="E94" s="0">
        <f>E85+E86+E90</f>
        <v/>
      </c>
      <c r="F94" s="0">
        <f>F85+F86+F90</f>
        <v/>
      </c>
      <c r="G94" s="0">
        <f>G85+G86+G90</f>
        <v/>
      </c>
      <c r="H94" s="0">
        <f>H85+H86+H90</f>
        <v/>
      </c>
      <c r="I94" s="0">
        <f>I85+I86+I90</f>
        <v/>
      </c>
      <c r="J94" s="0">
        <f>J85+J86+J90</f>
        <v/>
      </c>
      <c r="K94" s="0">
        <f>K85+K86+K90</f>
        <v/>
      </c>
      <c r="L94" s="0">
        <f>L85+L86+L90</f>
        <v/>
      </c>
      <c r="M94" s="0">
        <f>M85+M86+M90</f>
        <v/>
      </c>
      <c r="N94" s="0">
        <f>N85+N86+N90</f>
        <v/>
      </c>
      <c r="O94" s="0">
        <f>O85+O86+O90</f>
        <v/>
      </c>
      <c r="P94" s="0">
        <f>P85+P86+P90</f>
        <v/>
      </c>
      <c r="Q94" s="0">
        <f>Q85+Q86+Q90</f>
        <v/>
      </c>
      <c r="R94" s="0">
        <f>R85+R86+R90</f>
        <v/>
      </c>
      <c r="S94" s="0">
        <f>S85+S86+S90</f>
        <v/>
      </c>
      <c r="T94" s="0">
        <f>T85+T86+T90</f>
        <v/>
      </c>
      <c r="U94" s="0">
        <f>U85+U86+U90</f>
        <v/>
      </c>
      <c r="V94" s="0">
        <f>V85+V86+V90</f>
        <v/>
      </c>
      <c r="W94" s="0">
        <f>W85+W86+W90</f>
        <v/>
      </c>
    </row>
    <row r="95" ht="15" customHeight="1" s="103">
      <c r="B95" s="0" t="inlineStr">
        <is>
          <t>Y5 Dividends</t>
        </is>
      </c>
      <c r="C95" s="0">
        <f>IF(C93&gt;0,0,MAX(0,MIN(C$15*MAX(0,C94),C91-C92)))</f>
        <v/>
      </c>
      <c r="D95" s="0">
        <f>IF(D93&gt;0,0,MAX(0,MIN(D$15*MAX(0,D94),D91-D92)))</f>
        <v/>
      </c>
      <c r="E95" s="0">
        <f>IF(E93&gt;0,0,MAX(0,MIN(E$15*MAX(0,E94),E91-E92)))</f>
        <v/>
      </c>
      <c r="F95" s="0">
        <f>IF(F93&gt;0,0,MAX(0,MIN(F$15*MAX(0,F94),F91-F92)))</f>
        <v/>
      </c>
      <c r="G95" s="0">
        <f>IF(G93&gt;0,0,MAX(0,MIN(G$15*MAX(0,G94),G91-G92)))</f>
        <v/>
      </c>
      <c r="H95" s="0">
        <f>IF(H93&gt;0,0,MAX(0,MIN(H$15*MAX(0,H94),H91-H92)))</f>
        <v/>
      </c>
      <c r="I95" s="0">
        <f>IF(I93&gt;0,0,MAX(0,MIN(I$15*MAX(0,I94),I91-I92)))</f>
        <v/>
      </c>
      <c r="J95" s="0">
        <f>IF(J93&gt;0,0,MAX(0,MIN(J$15*MAX(0,J94),J91-J92)))</f>
        <v/>
      </c>
      <c r="K95" s="0">
        <f>IF(K93&gt;0,0,MAX(0,MIN(K$15*MAX(0,K94),K91-K92)))</f>
        <v/>
      </c>
      <c r="L95" s="0">
        <f>IF(L93&gt;0,0,MAX(0,MIN(L$15*MAX(0,L94),L91-L92)))</f>
        <v/>
      </c>
      <c r="M95" s="0">
        <f>IF(M93&gt;0,0,MAX(0,MIN(M$15*MAX(0,M94),M91-M92)))</f>
        <v/>
      </c>
      <c r="N95" s="0">
        <f>IF(N93&gt;0,0,MAX(0,MIN(N$15*MAX(0,N94),N91-N92)))</f>
        <v/>
      </c>
      <c r="O95" s="0">
        <f>IF(O93&gt;0,0,MAX(0,MIN(O$15*MAX(0,O94),O91-O92)))</f>
        <v/>
      </c>
      <c r="P95" s="0">
        <f>IF(P93&gt;0,0,MAX(0,MIN(P$15*MAX(0,P94),P91-P92)))</f>
        <v/>
      </c>
      <c r="Q95" s="0">
        <f>IF(Q93&gt;0,0,MAX(0,MIN(Q$15*MAX(0,Q94),Q91-Q92)))</f>
        <v/>
      </c>
      <c r="R95" s="0">
        <f>IF(R93&gt;0,0,MAX(0,MIN(R$15*MAX(0,R94),R91-R92)))</f>
        <v/>
      </c>
      <c r="S95" s="0">
        <f>IF(S93&gt;0,0,MAX(0,MIN(S$15*MAX(0,S94),S91-S92)))</f>
        <v/>
      </c>
      <c r="T95" s="0">
        <f>IF(T93&gt;0,0,MAX(0,MIN(T$15*MAX(0,T94),T91-T92)))</f>
        <v/>
      </c>
      <c r="U95" s="0">
        <f>IF(U93&gt;0,0,MAX(0,MIN(U$15*MAX(0,U94),U91-U92)))</f>
        <v/>
      </c>
      <c r="V95" s="0">
        <f>IF(V93&gt;0,0,MAX(0,MIN(V$15*MAX(0,V94),V91-V92)))</f>
        <v/>
      </c>
      <c r="W95" s="0">
        <f>IF(W93&gt;0,0,MAX(0,MIN(W$15*MAX(0,W94),W91-W92)))</f>
        <v/>
      </c>
    </row>
    <row r="96" ht="15" customHeight="1" s="103">
      <c r="B96" s="0" t="inlineStr">
        <is>
          <t>Y5 Ending Equity</t>
        </is>
      </c>
      <c r="C96" s="0">
        <f>C89+C85+C87+C90+C93-C95</f>
        <v/>
      </c>
      <c r="D96" s="0">
        <f>D89+D85+D87+D90+D93-D95</f>
        <v/>
      </c>
      <c r="E96" s="0">
        <f>E89+E85+E87+E90+E93-E95</f>
        <v/>
      </c>
      <c r="F96" s="0">
        <f>F89+F85+F87+F90+F93-F95</f>
        <v/>
      </c>
      <c r="G96" s="0">
        <f>G89+G85+G87+G90+G93-G95</f>
        <v/>
      </c>
      <c r="H96" s="0">
        <f>H89+H85+H87+H90+H93-H95</f>
        <v/>
      </c>
      <c r="I96" s="0">
        <f>I89+I85+I87+I90+I93-I95</f>
        <v/>
      </c>
      <c r="J96" s="0">
        <f>J89+J85+J87+J90+J93-J95</f>
        <v/>
      </c>
      <c r="K96" s="0">
        <f>K89+K85+K87+K90+K93-K95</f>
        <v/>
      </c>
      <c r="L96" s="0">
        <f>L89+L85+L87+L90+L93-L95</f>
        <v/>
      </c>
      <c r="M96" s="0">
        <f>M89+M85+M87+M90+M93-M95</f>
        <v/>
      </c>
      <c r="N96" s="0">
        <f>N89+N85+N87+N90+N93-N95</f>
        <v/>
      </c>
      <c r="O96" s="0">
        <f>O89+O85+O87+O90+O93-O95</f>
        <v/>
      </c>
      <c r="P96" s="0">
        <f>P89+P85+P87+P90+P93-P95</f>
        <v/>
      </c>
      <c r="Q96" s="0">
        <f>Q89+Q85+Q87+Q90+Q93-Q95</f>
        <v/>
      </c>
      <c r="R96" s="0">
        <f>R89+R85+R87+R90+R93-R95</f>
        <v/>
      </c>
      <c r="S96" s="0">
        <f>S89+S85+S87+S90+S93-S95</f>
        <v/>
      </c>
      <c r="T96" s="0">
        <f>T89+T85+T87+T90+T93-T95</f>
        <v/>
      </c>
      <c r="U96" s="0">
        <f>U89+U85+U87+U90+U93-U95</f>
        <v/>
      </c>
      <c r="V96" s="0">
        <f>V89+V85+V87+V90+V93-V95</f>
        <v/>
      </c>
      <c r="W96" s="0">
        <f>W89+W85+W87+W90+W93-W95</f>
        <v/>
      </c>
    </row>
    <row r="97" ht="15" customHeight="1" s="103">
      <c r="B97" s="0" t="inlineStr">
        <is>
          <t>Y5 Available Equity</t>
        </is>
      </c>
      <c r="C97" s="0">
        <f>C96-C88</f>
        <v/>
      </c>
      <c r="D97" s="0">
        <f>D96-D88</f>
        <v/>
      </c>
      <c r="E97" s="0">
        <f>E96-E88</f>
        <v/>
      </c>
      <c r="F97" s="0">
        <f>F96-F88</f>
        <v/>
      </c>
      <c r="G97" s="0">
        <f>G96-G88</f>
        <v/>
      </c>
      <c r="H97" s="0">
        <f>H96-H88</f>
        <v/>
      </c>
      <c r="I97" s="0">
        <f>I96-I88</f>
        <v/>
      </c>
      <c r="J97" s="0">
        <f>J96-J88</f>
        <v/>
      </c>
      <c r="K97" s="0">
        <f>K96-K88</f>
        <v/>
      </c>
      <c r="L97" s="0">
        <f>L96-L88</f>
        <v/>
      </c>
      <c r="M97" s="0">
        <f>M96-M88</f>
        <v/>
      </c>
      <c r="N97" s="0">
        <f>N96-N88</f>
        <v/>
      </c>
      <c r="O97" s="0">
        <f>O96-O88</f>
        <v/>
      </c>
      <c r="P97" s="0">
        <f>P96-P88</f>
        <v/>
      </c>
      <c r="Q97" s="0">
        <f>Q96-Q88</f>
        <v/>
      </c>
      <c r="R97" s="0">
        <f>R96-R88</f>
        <v/>
      </c>
      <c r="S97" s="0">
        <f>S96-S88</f>
        <v/>
      </c>
      <c r="T97" s="0">
        <f>T96-T88</f>
        <v/>
      </c>
      <c r="U97" s="0">
        <f>U96-U88</f>
        <v/>
      </c>
      <c r="V97" s="0">
        <f>V96-V88</f>
        <v/>
      </c>
      <c r="W97" s="0">
        <f>W96-W88</f>
        <v/>
      </c>
    </row>
    <row r="98" ht="15" customHeight="1" s="103">
      <c r="B98" s="0" t="inlineStr">
        <is>
          <t>Y5 Net Annual Cash</t>
        </is>
      </c>
      <c r="C98" s="0">
        <f>-Captive!$G$7-C93+C95</f>
        <v/>
      </c>
      <c r="D98" s="0">
        <f>-Captive!$G$7-D93+D95</f>
        <v/>
      </c>
      <c r="E98" s="0">
        <f>-Captive!$G$7-E93+E95</f>
        <v/>
      </c>
      <c r="F98" s="0">
        <f>-Captive!$G$7-F93+F95</f>
        <v/>
      </c>
      <c r="G98" s="0">
        <f>-Captive!$G$7-G93+G95</f>
        <v/>
      </c>
      <c r="H98" s="0">
        <f>-Captive!$G$7-H93+H95</f>
        <v/>
      </c>
      <c r="I98" s="0">
        <f>-Captive!$G$7-I93+I95</f>
        <v/>
      </c>
      <c r="J98" s="0">
        <f>-Captive!$G$7-J93+J95</f>
        <v/>
      </c>
      <c r="K98" s="0">
        <f>-Captive!$G$7-K93+K95</f>
        <v/>
      </c>
      <c r="L98" s="0">
        <f>-Captive!$G$7-L93+L95</f>
        <v/>
      </c>
      <c r="M98" s="0">
        <f>-Captive!$G$7-M93+M95</f>
        <v/>
      </c>
      <c r="N98" s="0">
        <f>-Captive!$G$7-N93+N95</f>
        <v/>
      </c>
      <c r="O98" s="0">
        <f>-Captive!$G$7-O93+O95</f>
        <v/>
      </c>
      <c r="P98" s="0">
        <f>-Captive!$G$7-P93+P95</f>
        <v/>
      </c>
      <c r="Q98" s="0">
        <f>-Captive!$G$7-Q93+Q95</f>
        <v/>
      </c>
      <c r="R98" s="0">
        <f>-Captive!$G$7-R93+R95</f>
        <v/>
      </c>
      <c r="S98" s="0">
        <f>-Captive!$G$7-S93+S95</f>
        <v/>
      </c>
      <c r="T98" s="0">
        <f>-Captive!$G$7-T93+T95</f>
        <v/>
      </c>
      <c r="U98" s="0">
        <f>-Captive!$G$7-U93+U95</f>
        <v/>
      </c>
      <c r="V98" s="0">
        <f>-Captive!$G$7-V93+V95</f>
        <v/>
      </c>
      <c r="W98" s="0">
        <f>-Captive!$G$7-W93+W95</f>
        <v/>
      </c>
    </row>
    <row r="99" ht="15" customHeight="1" s="103">
      <c r="B99" s="0" t="inlineStr">
        <is>
          <t>Y5 Cumulative Net Cash</t>
        </is>
      </c>
      <c r="C99" s="0">
        <f>C83+C98</f>
        <v/>
      </c>
      <c r="D99" s="0">
        <f>D83+D98</f>
        <v/>
      </c>
      <c r="E99" s="0">
        <f>E83+E98</f>
        <v/>
      </c>
      <c r="F99" s="0">
        <f>F83+F98</f>
        <v/>
      </c>
      <c r="G99" s="0">
        <f>G83+G98</f>
        <v/>
      </c>
      <c r="H99" s="0">
        <f>H83+H98</f>
        <v/>
      </c>
      <c r="I99" s="0">
        <f>I83+I98</f>
        <v/>
      </c>
      <c r="J99" s="0">
        <f>J83+J98</f>
        <v/>
      </c>
      <c r="K99" s="0">
        <f>K83+K98</f>
        <v/>
      </c>
      <c r="L99" s="0">
        <f>L83+L98</f>
        <v/>
      </c>
      <c r="M99" s="0">
        <f>M83+M98</f>
        <v/>
      </c>
      <c r="N99" s="0">
        <f>N83+N98</f>
        <v/>
      </c>
      <c r="O99" s="0">
        <f>O83+O98</f>
        <v/>
      </c>
      <c r="P99" s="0">
        <f>P83+P98</f>
        <v/>
      </c>
      <c r="Q99" s="0">
        <f>Q83+Q98</f>
        <v/>
      </c>
      <c r="R99" s="0">
        <f>R83+R98</f>
        <v/>
      </c>
      <c r="S99" s="0">
        <f>S83+S98</f>
        <v/>
      </c>
      <c r="T99" s="0">
        <f>T83+T98</f>
        <v/>
      </c>
      <c r="U99" s="0">
        <f>U83+U98</f>
        <v/>
      </c>
      <c r="V99" s="0">
        <f>V83+V98</f>
        <v/>
      </c>
      <c r="W99" s="0">
        <f>W83+W98</f>
        <v/>
      </c>
    </row>
    <row r="101" ht="15" customHeight="1" s="103">
      <c r="B101" s="0" t="inlineStr">
        <is>
          <t>Total Capital Calls</t>
        </is>
      </c>
      <c r="C101" s="0">
        <f>C29+C45+C61+C77+C93</f>
        <v/>
      </c>
      <c r="D101" s="0">
        <f>D29+D45+D61+D77+D93</f>
        <v/>
      </c>
      <c r="E101" s="0">
        <f>E29+E45+E61+E77+E93</f>
        <v/>
      </c>
      <c r="F101" s="0">
        <f>F29+F45+F61+F77+F93</f>
        <v/>
      </c>
      <c r="G101" s="0">
        <f>G29+G45+G61+G77+G93</f>
        <v/>
      </c>
      <c r="H101" s="0">
        <f>H29+H45+H61+H77+H93</f>
        <v/>
      </c>
      <c r="I101" s="0">
        <f>I29+I45+I61+I77+I93</f>
        <v/>
      </c>
      <c r="J101" s="0">
        <f>J29+J45+J61+J77+J93</f>
        <v/>
      </c>
      <c r="K101" s="0">
        <f>K29+K45+K61+K77+K93</f>
        <v/>
      </c>
      <c r="L101" s="0">
        <f>L29+L45+L61+L77+L93</f>
        <v/>
      </c>
      <c r="M101" s="0">
        <f>M29+M45+M61+M77+M93</f>
        <v/>
      </c>
      <c r="N101" s="0">
        <f>N29+N45+N61+N77+N93</f>
        <v/>
      </c>
      <c r="O101" s="0">
        <f>O29+O45+O61+O77+O93</f>
        <v/>
      </c>
      <c r="P101" s="0">
        <f>P29+P45+P61+P77+P93</f>
        <v/>
      </c>
      <c r="Q101" s="0">
        <f>Q29+Q45+Q61+Q77+Q93</f>
        <v/>
      </c>
      <c r="R101" s="0">
        <f>R29+R45+R61+R77+R93</f>
        <v/>
      </c>
      <c r="S101" s="0">
        <f>S29+S45+S61+S77+S93</f>
        <v/>
      </c>
      <c r="T101" s="0">
        <f>T29+T45+T61+T77+T93</f>
        <v/>
      </c>
      <c r="U101" s="0">
        <f>U29+U45+U61+U77+U93</f>
        <v/>
      </c>
      <c r="V101" s="0">
        <f>V29+V45+V61+V77+V93</f>
        <v/>
      </c>
      <c r="W101" s="0">
        <f>W29+W45+W61+W77+W93</f>
        <v/>
      </c>
    </row>
    <row r="102" ht="15" customHeight="1" s="103">
      <c r="B102" s="0" t="inlineStr">
        <is>
          <t>5-Yr Total Economic Advantage</t>
        </is>
      </c>
      <c r="C102" s="0">
        <f>C99+C97-Traditional!$G$16</f>
        <v/>
      </c>
      <c r="D102" s="0">
        <f>D99+D97-Traditional!$G$16</f>
        <v/>
      </c>
      <c r="E102" s="0">
        <f>E99+E97-Traditional!$G$16</f>
        <v/>
      </c>
      <c r="F102" s="0">
        <f>F99+F97-Traditional!$G$16</f>
        <v/>
      </c>
      <c r="G102" s="0">
        <f>G99+G97-Traditional!$G$16</f>
        <v/>
      </c>
      <c r="H102" s="0">
        <f>H99+H97-Traditional!$G$16</f>
        <v/>
      </c>
      <c r="I102" s="0">
        <f>I99+I97-Traditional!$G$16</f>
        <v/>
      </c>
      <c r="J102" s="0">
        <f>J99+J97-Traditional!$G$16</f>
        <v/>
      </c>
      <c r="K102" s="0">
        <f>K99+K97-Traditional!$G$16</f>
        <v/>
      </c>
      <c r="L102" s="0">
        <f>L99+L97-Traditional!$G$16</f>
        <v/>
      </c>
      <c r="M102" s="0">
        <f>M99+M97-Traditional!$G$16</f>
        <v/>
      </c>
      <c r="N102" s="0">
        <f>N99+N97-Traditional!$G$16</f>
        <v/>
      </c>
      <c r="O102" s="0">
        <f>O99+O97-Traditional!$G$16</f>
        <v/>
      </c>
      <c r="P102" s="0">
        <f>P99+P97-Traditional!$G$16</f>
        <v/>
      </c>
      <c r="Q102" s="0">
        <f>Q99+Q97-Traditional!$G$16</f>
        <v/>
      </c>
      <c r="R102" s="0">
        <f>R99+R97-Traditional!$G$16</f>
        <v/>
      </c>
      <c r="S102" s="0">
        <f>S99+S97-Traditional!$G$16</f>
        <v/>
      </c>
      <c r="T102" s="0">
        <f>T99+T97-Traditional!$G$16</f>
        <v/>
      </c>
      <c r="U102" s="0">
        <f>U99+U97-Traditional!$G$16</f>
        <v/>
      </c>
      <c r="V102" s="0">
        <f>V99+V97-Traditional!$G$16</f>
        <v/>
      </c>
      <c r="W102" s="0">
        <f>W99+W97-Traditional!$G$16</f>
        <v/>
      </c>
    </row>
    <row r="103" ht="15" customHeight="1" s="103">
      <c r="B103" s="0" t="inlineStr">
        <is>
          <t>Calls Triggered</t>
        </is>
      </c>
      <c r="C103" s="0">
        <f>IF(C101&gt;0,"YES","No")</f>
        <v/>
      </c>
      <c r="D103" s="0">
        <f>IF(D101&gt;0,"YES","No")</f>
        <v/>
      </c>
      <c r="E103" s="0">
        <f>IF(E101&gt;0,"YES","No")</f>
        <v/>
      </c>
      <c r="F103" s="0">
        <f>IF(F101&gt;0,"YES","No")</f>
        <v/>
      </c>
      <c r="G103" s="0">
        <f>IF(G101&gt;0,"YES","No")</f>
        <v/>
      </c>
      <c r="H103" s="0">
        <f>IF(H101&gt;0,"YES","No")</f>
        <v/>
      </c>
      <c r="I103" s="0">
        <f>IF(I101&gt;0,"YES","No")</f>
        <v/>
      </c>
      <c r="J103" s="0">
        <f>IF(J101&gt;0,"YES","No")</f>
        <v/>
      </c>
      <c r="K103" s="0">
        <f>IF(K101&gt;0,"YES","No")</f>
        <v/>
      </c>
      <c r="L103" s="0">
        <f>IF(L101&gt;0,"YES","No")</f>
        <v/>
      </c>
      <c r="M103" s="0">
        <f>IF(M101&gt;0,"YES","No")</f>
        <v/>
      </c>
      <c r="N103" s="0">
        <f>IF(N101&gt;0,"YES","No")</f>
        <v/>
      </c>
      <c r="O103" s="0">
        <f>IF(O101&gt;0,"YES","No")</f>
        <v/>
      </c>
      <c r="P103" s="0">
        <f>IF(P101&gt;0,"YES","No")</f>
        <v/>
      </c>
      <c r="Q103" s="0">
        <f>IF(Q101&gt;0,"YES","No")</f>
        <v/>
      </c>
      <c r="R103" s="0">
        <f>IF(R101&gt;0,"YES","No")</f>
        <v/>
      </c>
      <c r="S103" s="0">
        <f>IF(S101&gt;0,"YES","No")</f>
        <v/>
      </c>
      <c r="T103" s="0">
        <f>IF(T101&gt;0,"YES","No")</f>
        <v/>
      </c>
      <c r="U103" s="0">
        <f>IF(U101&gt;0,"YES","No")</f>
        <v/>
      </c>
      <c r="V103" s="0">
        <f>IF(V101&gt;0,"YES","No")</f>
        <v/>
      </c>
      <c r="W103" s="0">
        <f>IF(W101&gt;0,"YES","No")</f>
        <v/>
      </c>
    </row>
  </sheetData>
  <pageMargins left="0.7" right="0.7" top="0.75" bottom="0.75" header="0.3" footer="0.3"/>
  <pageSetup orientation="portrait"/>
  <headerFooter>
    <oddHeader>&amp;L&amp;C&amp;R</oddHeader>
    <oddFooter>&amp;L&amp;C&amp;R</oddFooter>
    <evenHeader/>
    <evenFooter/>
    <firstHeader/>
    <firstFooter/>
  </headerFooter>
</worksheet>
</file>

<file path=xl/worksheets/sheet9.xml><?xml version="1.0" encoding="utf-8"?>
<worksheet xmlns="http://schemas.openxmlformats.org/spreadsheetml/2006/main">
  <sheetPr>
    <outlinePr summaryBelow="1" summaryRight="1"/>
    <pageSetUpPr/>
  </sheetPr>
  <dimension ref="B2:B56"/>
  <sheetViews>
    <sheetView showGridLines="0" workbookViewId="0">
      <selection activeCell="A1" sqref="A1"/>
    </sheetView>
  </sheetViews>
  <sheetFormatPr baseColWidth="10" defaultColWidth="7.83203125" defaultRowHeight="15" customHeight="1"/>
  <cols>
    <col width="1.5" customWidth="1" style="103" min="1" max="1"/>
    <col width="100" customWidth="1" style="103" min="2" max="2"/>
  </cols>
  <sheetData>
    <row r="2" ht="15" customHeight="1" s="103">
      <c r="B2" s="37" t="inlineStr">
        <is>
          <t>Notes &amp; Methodology</t>
        </is>
      </c>
    </row>
    <row r="4" ht="15" customHeight="1" s="103">
      <c r="B4" s="48" t="inlineStr">
        <is>
          <t>MODEL OVERVIEW</t>
        </is>
      </c>
    </row>
    <row r="5" ht="15" customHeight="1" s="103">
      <c r="B5" s="97" t="inlineStr">
        <is>
          <t>This model compares the 5-year financial outcomes for a mid-sized nuclear supply chain participant under two insurance</t>
        </is>
      </c>
    </row>
    <row r="6" ht="15" customHeight="1" s="103">
      <c r="B6" s="97" t="inlineStr">
        <is>
          <t>structures: (1) a traditional commercial insurance program and (2) a Protected Cell Captive (PCC) group captive program.</t>
        </is>
      </c>
    </row>
    <row r="7" ht="15" customHeight="1" s="103">
      <c r="B7" s="97" t="inlineStr">
        <is>
          <t>The PCC structure is modeled on a heterogeneous group captive (e.g., Ballast Mutual) where each participant owns a</t>
        </is>
      </c>
    </row>
    <row r="8" ht="15" customHeight="1" s="103">
      <c r="B8" s="97" t="inlineStr">
        <is>
          <t>segregated cell within the captive, retaining underwriting profits and investment income while sharing infrastructure costs.</t>
        </is>
      </c>
    </row>
    <row r="10" ht="15" customHeight="1" s="103">
      <c r="B10" s="48" t="inlineStr">
        <is>
          <t>TRADITIONAL SCENARIO METHODOLOGY</t>
        </is>
      </c>
    </row>
    <row r="11" ht="15" customHeight="1" s="103">
      <c r="B11" s="97" t="inlineStr">
        <is>
          <t>— Premium is calculated as Revenue × Insurance Premium Multiplier × (1 + Premium Trend)^(Year−1).</t>
        </is>
      </c>
    </row>
    <row r="12" ht="15" customHeight="1" s="103">
      <c r="B12" s="97" t="inlineStr">
        <is>
          <t>— No dividends, profit-sharing, or equity accumulation. All premium paid is a pure expense.</t>
        </is>
      </c>
    </row>
    <row r="13" ht="15" customHeight="1" s="103">
      <c r="B13" s="97" t="inlineStr">
        <is>
          <t>— Total Economic Position = Cumulative Net Cash Impact (always negative, representing total cost).</t>
        </is>
      </c>
    </row>
    <row r="15" ht="15" customHeight="1" s="103">
      <c r="B15" s="48" t="inlineStr">
        <is>
          <t>PCC CAPTIVE SCENARIO METHODOLOGY</t>
        </is>
      </c>
    </row>
    <row r="16" ht="15" customHeight="1" s="103">
      <c r="B16" s="97" t="inlineStr">
        <is>
          <t>— Gross Premium = Revenue × Effective Multiplier × Captive Premium Factor × (1 + Trend)^(Year−1). A factor below 1.00× models a captive rating differential (captive priced below traditional market); above 1.00× models conservative funding.</t>
        </is>
      </c>
    </row>
    <row r="17" ht="15" customHeight="1" s="103">
      <c r="B17" s="97" t="inlineStr">
        <is>
          <t>— Reinsurance/fronting cession, the fronting fee, and the captive admin &amp; management fee (two separate expense inputs) are deducted from gross premium to arrive at Net Retained Premium to Cell.</t>
        </is>
      </c>
    </row>
    <row r="18" ht="15" customHeight="1" s="103">
      <c r="B18" s="97" t="inlineStr">
        <is>
          <t>— Losses are applied as a percentage of Net Retained Premium (adjustable per year for stress testing).</t>
        </is>
      </c>
    </row>
    <row r="19" ht="15" customHeight="1" s="103">
      <c r="B19" s="97" t="inlineStr">
        <is>
          <t>— Underwriting Result = Net Retained Premium − Losses Incurred.</t>
        </is>
      </c>
    </row>
    <row r="20" ht="15" customHeight="1" s="103">
      <c r="B20" s="97" t="inlineStr">
        <is>
          <t>— Investment Income = Beginning-of-Year Cell Equity (funds basis, including assets backing loss reserves) × Investment Yield. This avoids circularity; mid-year premium, claim, and dividend cash flows earn no return in the year they occur (simplification).</t>
        </is>
      </c>
    </row>
    <row r="21" ht="15" customHeight="1" s="103">
      <c r="B21" s="97" t="inlineStr">
        <is>
          <t>— Total Cell Income = Underwriting Result + Investment Income.</t>
        </is>
      </c>
    </row>
    <row r="22" ht="15" customHeight="1" s="103">
      <c r="B22" s="97" t="inlineStr">
        <is>
          <t>— Dividends are distributed as a % of positive Total Cell Income, are suspended in any year a capital call is triggered, and are capped so Available Equity does not fall below the minimum capital requirement.</t>
        </is>
      </c>
    </row>
    <row r="23" ht="15" customHeight="1" s="103">
      <c r="B23" s="97" t="inlineStr">
        <is>
          <t>— Equity Roll-Forward: Beginning Equity + Net Retained Premium − Claims Paid + Investment Income + Capital Call − Dividends = Ending Equity. Available Equity = Ending Equity − Loss Reserves.</t>
        </is>
      </c>
    </row>
    <row r="25" ht="15" customHeight="1" s="103">
      <c r="B25" s="48" t="inlineStr">
        <is>
          <t>EQUITY ROLL-FORWARD MECHANICS</t>
        </is>
      </c>
    </row>
    <row r="26" ht="15" customHeight="1" s="103">
      <c r="B26" s="97" t="inlineStr">
        <is>
          <t>— Year 1 Beginning Equity = Initial Cell Capital Contribution (input assumption).</t>
        </is>
      </c>
    </row>
    <row r="27" ht="15" customHeight="1" s="103">
      <c r="B27" s="97" t="inlineStr">
        <is>
          <t>— Each subsequent year's Beginning Equity = Prior Year's Ending Equity.</t>
        </is>
      </c>
    </row>
    <row r="28" ht="15" customHeight="1" s="103">
      <c r="B28" s="97" t="inlineStr">
        <is>
          <t>— At Year 5, the model optionally shows a Potential Redemption Value equal to Ending Cell Equity (toggle on Assumptions tab).</t>
        </is>
      </c>
    </row>
    <row r="29" ht="15" customHeight="1" s="103">
      <c r="B29" s="97" t="inlineStr">
        <is>
          <t>— Redemption is illustrative; actual value is subject to board approval, regulatory requirements, and claims run-off.</t>
        </is>
      </c>
    </row>
    <row r="31" ht="15" customHeight="1" s="103">
      <c r="B31" s="48" t="inlineStr">
        <is>
          <t>KEY ASSUMPTIONS &amp; LIMITATIONS</t>
        </is>
      </c>
    </row>
    <row r="32" ht="15" customHeight="1" s="103">
      <c r="B32" s="97" t="inlineStr">
        <is>
          <t>— Premium multipliers are illustrative estimates for nuclear supply chain exposures (combined GL, Umbrella, Pollution, Professional).</t>
        </is>
      </c>
    </row>
    <row r="33" ht="15" customHeight="1" s="103">
      <c r="B33" s="97" t="inlineStr">
        <is>
          <t>— Actual premiums vary by company-specific exposure, claims history, and underwriting evaluation.</t>
        </is>
      </c>
    </row>
    <row r="34" ht="15" customHeight="1" s="103">
      <c r="B34" s="97" t="inlineStr">
        <is>
          <t>— Loss ratios are applied uniformly to net retained premium; model does not distinguish between frequency and severity.</t>
        </is>
      </c>
    </row>
    <row r="35" ht="15" customHeight="1" s="103">
      <c r="B35" s="97" t="inlineStr">
        <is>
          <t>— Model assumes losses remain within the cell's retained capacity; catastrophic or excess losses are not modeled.</t>
        </is>
      </c>
    </row>
    <row r="36" ht="15" customHeight="1" s="103">
      <c r="B36" s="97" t="inlineStr">
        <is>
          <t>— Investment yield is applied on beginning-of-year equity as a simplification; actual returns depend on investment policy and market conditions.</t>
        </is>
      </c>
    </row>
    <row r="37" ht="15" customHeight="1" s="103">
      <c r="B37" s="97" t="inlineStr">
        <is>
          <t>— Operating expenses include captive management fees, fronting fees, regulatory costs, audit, and actuarial.</t>
        </is>
      </c>
    </row>
    <row r="38" ht="15" customHeight="1" s="103">
      <c r="B38" s="97" t="inlineStr">
        <is>
          <t>— No tax effects are modeled. Captive domicile tax treatment may affect net economics.</t>
        </is>
      </c>
    </row>
    <row r="39" ht="15" customHeight="1" s="103">
      <c r="B39" s="97" t="inlineStr">
        <is>
          <t>— This model is for illustrative and educational purposes only. It is not a guarantee of future performance.</t>
        </is>
      </c>
    </row>
    <row r="41" ht="15" customHeight="1" s="103">
      <c r="B41" s="48" t="inlineStr">
        <is>
          <t>INPUT CONVENTIONS</t>
        </is>
      </c>
    </row>
    <row r="42" ht="15" customHeight="1" s="103">
      <c r="B42" s="97" t="inlineStr">
        <is>
          <t>— Blue font = adjustable input (user can change).</t>
        </is>
      </c>
    </row>
    <row r="43" ht="15" customHeight="1" s="103">
      <c r="B43" s="97" t="inlineStr">
        <is>
          <t>— Black font = calculated field (formula-driven, do not overwrite).</t>
        </is>
      </c>
    </row>
    <row r="44" ht="15" customHeight="1" s="103">
      <c r="B44" s="97" t="inlineStr">
        <is>
          <t>— Green font = cross-sheet reference.</t>
        </is>
      </c>
    </row>
    <row r="45" ht="15" customHeight="1" s="103">
      <c r="B45" s="97" t="inlineStr">
        <is>
          <t>— All inputs are on the Assumptions tab. Changing any input dynamically updates all tabs and charts.</t>
        </is>
      </c>
    </row>
    <row r="47" ht="15" customHeight="1" s="103">
      <c r="B47" s="98" t="inlineStr">
        <is>
          <t>MODEL LIMITATIONS &amp; ENHANCEMENTS (JUNE 2026 REVISION)</t>
        </is>
      </c>
    </row>
    <row r="48" ht="15" customHeight="1" s="103">
      <c r="B48" s="99" t="inlineStr">
        <is>
          <t>— Claims payout pattern: each year's incurred losses are paid in cash over four development lags (loss year, +1, +2, +3+; inputs on Assumptions tab, must sum to 100%). The unpaid balance is held as a loss reserve. Reserves reduce Available Equity for capital tests and redemption but do not create an immediate cash outflow.</t>
        </is>
      </c>
    </row>
    <row r="49" ht="15" customHeight="1" s="103">
      <c r="B49" s="99" t="inlineStr">
        <is>
          <t>— Capital call logic: each year the cell must hold Available Equity (net of loss reserves, before dividends) of at least the Minimum Cell Capital Requirement % × next year's expected Net Retained Premium (Year 5 uses Year 5 NRP grown by revenue growth and premium trend). Any shortfall triggers an automatic Capital Call / Additional Contribution (toggle on Assumptions tab), which is added to equity in that year and flows into the participant's cash outlay.</t>
        </is>
      </c>
    </row>
    <row r="50" ht="15" customHeight="1" s="103">
      <c r="B50" s="99" t="inlineStr">
        <is>
          <t>— Dividend ordering: capital calls are evaluated before dividends; no dividend is paid in a call year, and dividends are otherwise capped at the surplus above the minimum capital requirement.</t>
        </is>
      </c>
    </row>
    <row r="51" ht="15" customHeight="1" s="103">
      <c r="B51" s="99" t="inlineStr">
        <is>
          <t>— NPV treatment of exit: the NPV_Valuation tab discounts Net Annual Cash Impact for both structures at the Assumptions discount rate (end-of-year timing). If the Year 5 exit toggle is Yes, the redemption value (Available Equity, net of loss reserves) is reduced by a conservative Hold-back for Run-off / IBNR (default 20%, adjustable 15–25%) and discounted 5 years. Redemption value is illustrative only — actual redemption requires board approval, regulatory release, and completed claims run-off.</t>
        </is>
      </c>
    </row>
    <row r="52" ht="15" customHeight="1" s="103">
      <c r="B52" s="99" t="inlineStr">
        <is>
          <t>— Captive Premium Factor: captive gross premium may now differ from the traditional market premium. The Traditional tab continues to use the unfactored market premium, so the comparison isolates structure economics plus any rating differential.</t>
        </is>
      </c>
    </row>
    <row r="53" ht="15" customHeight="1" s="103">
      <c r="B53" s="99" t="inlineStr">
        <is>
          <t>— Scenarios tab: Base, Moderate Adverse, and Severe loss-ratio paths run side-by-side through the full engine (payout pattern, capital calls, dividend caps). Scenario loss ratios are inputs on the Assumptions tab; the Base block ties exactly to the Captive tab.</t>
        </is>
      </c>
    </row>
    <row r="54" ht="15" customHeight="1" s="103">
      <c r="B54" s="99" t="inlineStr">
        <is>
          <t>— Dashboard sensitivity: one-way ±10% / ±20% flexes of combined operating expense %, dividend payout rate, initial capital %, investment yield, and a loss-ratio multiplier, computed on a hidden Sensitivity_Calc engine with full risk mechanics.</t>
        </is>
      </c>
    </row>
    <row r="55" ht="15" customHeight="1" s="103">
      <c r="B55" s="99" t="inlineStr">
        <is>
          <t>— The base case retains the original low-loss experience for continuity; the adverse scenarios are the primary risk illustration. The model remains pre-tax throughout.</t>
        </is>
      </c>
    </row>
    <row r="56" ht="15" customHeight="1" s="103">
      <c r="B56" s="99" t="inlineStr">
        <is>
          <t>— The minimum capital requirement is a simplified premium-based proxy, not a risk-based capital model (retained limits, reserve risk, and regulatory capital are not modeled). The redemption hold-back is likewise a flat-percentage proxy for run-off / IBNR uncertainty rather than a reserve-based calculation.</t>
        </is>
      </c>
    </row>
  </sheetData>
  <pageMargins left="0.7" right="0.7" top="0.75" bottom="0.75" header="0.3" footer="0.3"/>
  <pageSetup orientation="portrait"/>
  <headerFooter>
    <oddHeader>&amp;L&amp;C&amp;R</oddHeader>
    <oddFooter>&amp;L&amp;C&amp;R</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Shortcut</dc:creator>
  <dcterms:created xmlns:dcterms="http://purl.org/dc/terms/" xmlns:xsi="http://www.w3.org/2001/XMLSchema-instance" xsi:type="dcterms:W3CDTF">2025-05-22T23:41:35Z</dcterms:created>
  <dcterms:modified xmlns:dcterms="http://purl.org/dc/terms/" xmlns:xsi="http://www.w3.org/2001/XMLSchema-instance" xsi:type="dcterms:W3CDTF">2026-08-03T00:44:28Z</dcterms:modified>
  <cp:lastModifiedBy>Bronson Boucher</cp:lastModifiedBy>
</cp:coreProperties>
</file>

<file path=docProps/custom.xml><?xml version="1.0" encoding="utf-8"?>
<Properties xmlns="http://schemas.openxmlformats.org/officeDocument/2006/custom-properties">
  <property name="shortcut_file_id" fmtid="{D5CDD505-2E9C-101B-9397-08002B2CF9AE}" pid="2">
    <vt:lpwstr xmlns:vt="http://schemas.openxmlformats.org/officeDocument/2006/docPropsVTypes">c611b476-db86-4f01-b3ad-707d8e42ae77</vt:lpwstr>
  </property>
</Properties>
</file>